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ivisions\Student Central\Perkins Grant\Perkins Year 2018-2019\Application and Award\"/>
    </mc:Choice>
  </mc:AlternateContent>
  <bookViews>
    <workbookView xWindow="0" yWindow="0" windowWidth="17505" windowHeight="8580" tabRatio="839" firstSheet="1"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3" i="6" l="1"/>
  <c r="V178" i="6"/>
  <c r="V79" i="6" l="1"/>
  <c r="S6" i="18" l="1"/>
  <c r="V54" i="6"/>
  <c r="S23" i="18"/>
  <c r="S22" i="18"/>
  <c r="S21" i="18"/>
  <c r="K14" i="18"/>
  <c r="K23" i="18"/>
  <c r="K22" i="18"/>
  <c r="K21" i="18"/>
  <c r="O23" i="18"/>
  <c r="O22" i="18"/>
  <c r="O21" i="18"/>
  <c r="O14" i="18"/>
  <c r="O13" i="18"/>
  <c r="S17" i="18" l="1"/>
  <c r="L97" i="25"/>
  <c r="B97" i="25"/>
  <c r="L93" i="25"/>
  <c r="L91" i="25"/>
  <c r="L89" i="25"/>
  <c r="L87" i="25"/>
  <c r="L85" i="25"/>
  <c r="L83" i="25"/>
  <c r="L81" i="25"/>
  <c r="L79" i="25"/>
  <c r="L77" i="25"/>
  <c r="L75" i="25"/>
  <c r="L73" i="25"/>
  <c r="L71" i="25"/>
  <c r="L69" i="25"/>
  <c r="L67" i="25"/>
  <c r="L65" i="25"/>
  <c r="L63" i="25"/>
  <c r="L61" i="25"/>
  <c r="L59" i="25"/>
  <c r="L57" i="25"/>
  <c r="L55" i="25"/>
  <c r="L53" i="25"/>
  <c r="L51" i="25"/>
  <c r="L49" i="25"/>
  <c r="L47" i="25"/>
  <c r="L45" i="25"/>
  <c r="L43" i="25"/>
  <c r="L41" i="25"/>
  <c r="L39" i="25"/>
  <c r="L37" i="25"/>
  <c r="L35" i="25"/>
  <c r="L33" i="25"/>
  <c r="L31" i="25"/>
  <c r="L29" i="25"/>
  <c r="L27" i="25"/>
  <c r="L25" i="25"/>
  <c r="L23" i="25"/>
  <c r="L21" i="25"/>
  <c r="L19" i="25"/>
  <c r="L17" i="25"/>
  <c r="L15" i="25"/>
  <c r="L13" i="25"/>
  <c r="L11" i="25"/>
  <c r="L9" i="25"/>
  <c r="L7" i="25"/>
  <c r="L5" i="25"/>
  <c r="V84" i="6"/>
  <c r="V83" i="6"/>
  <c r="V82" i="6"/>
  <c r="V78" i="6"/>
  <c r="V77" i="6"/>
  <c r="V76" i="6"/>
  <c r="V75" i="6"/>
  <c r="V74" i="6"/>
  <c r="V73" i="6"/>
  <c r="V114" i="6"/>
  <c r="V112" i="6"/>
  <c r="V111" i="6"/>
  <c r="V110" i="6"/>
  <c r="V109" i="6"/>
  <c r="V107" i="6"/>
  <c r="V106" i="6"/>
  <c r="V105" i="6"/>
  <c r="V104" i="6"/>
  <c r="V124" i="6"/>
  <c r="V123" i="6"/>
  <c r="V122" i="6"/>
  <c r="V121" i="6"/>
  <c r="V120" i="6"/>
  <c r="V119" i="6"/>
  <c r="V118" i="6"/>
  <c r="V117" i="6"/>
  <c r="V116" i="6"/>
  <c r="V115" i="6"/>
  <c r="V151" i="6"/>
  <c r="V146" i="6"/>
  <c r="V141" i="6"/>
  <c r="V136" i="6"/>
  <c r="V135" i="6"/>
  <c r="V130" i="6"/>
  <c r="V166" i="6"/>
  <c r="V125" i="6"/>
  <c r="L95" i="25"/>
  <c r="B95" i="25"/>
  <c r="V48" i="6"/>
  <c r="V47" i="6"/>
  <c r="V44" i="6"/>
  <c r="V43" i="6"/>
  <c r="V39" i="6"/>
  <c r="V38" i="6"/>
  <c r="L3" i="25"/>
  <c r="S14" i="18" l="1"/>
  <c r="S13" i="18"/>
  <c r="S12" i="18" l="1"/>
  <c r="S10" i="18"/>
  <c r="S5" i="18"/>
  <c r="O12" i="18"/>
  <c r="S4" i="18" l="1"/>
  <c r="V23" i="6"/>
  <c r="S24" i="18" l="1"/>
  <c r="S7" i="18"/>
  <c r="V174" i="6"/>
  <c r="S28" i="18" s="1"/>
  <c r="V154" i="6"/>
  <c r="V126" i="6"/>
  <c r="V100" i="6"/>
  <c r="V85" i="6"/>
  <c r="V156" i="6" s="1"/>
  <c r="V66" i="6"/>
  <c r="V158" i="6" s="1"/>
  <c r="V51" i="6"/>
  <c r="V34" i="6"/>
  <c r="S26" i="18" l="1"/>
  <c r="S30" i="18" s="1"/>
  <c r="J93" i="25"/>
  <c r="J91" i="25"/>
  <c r="J89" i="25"/>
  <c r="J87" i="25"/>
  <c r="J85" i="25"/>
  <c r="J83" i="25"/>
  <c r="J81" i="25"/>
  <c r="J79" i="25"/>
  <c r="J77" i="25"/>
  <c r="J75" i="25"/>
  <c r="J73" i="25"/>
  <c r="V181" i="6" l="1"/>
  <c r="T74" i="6"/>
  <c r="T154" i="6"/>
  <c r="T126" i="6"/>
  <c r="T85" i="6"/>
  <c r="T166" i="6"/>
  <c r="T151" i="6"/>
  <c r="T146" i="6"/>
  <c r="T141" i="6"/>
  <c r="T136" i="6"/>
  <c r="T135" i="6"/>
  <c r="T130" i="6"/>
  <c r="T124" i="6"/>
  <c r="T123" i="6"/>
  <c r="T122" i="6"/>
  <c r="T121" i="6"/>
  <c r="T120" i="6"/>
  <c r="T119" i="6"/>
  <c r="T118" i="6"/>
  <c r="T117" i="6"/>
  <c r="T116" i="6"/>
  <c r="T115" i="6"/>
  <c r="T114" i="6"/>
  <c r="T112" i="6"/>
  <c r="T111" i="6"/>
  <c r="T110" i="6"/>
  <c r="T109" i="6"/>
  <c r="T107" i="6"/>
  <c r="T106" i="6"/>
  <c r="T105" i="6"/>
  <c r="T104" i="6"/>
  <c r="T84" i="6"/>
  <c r="T83" i="6"/>
  <c r="T82" i="6"/>
  <c r="T79" i="6"/>
  <c r="T78" i="6"/>
  <c r="T77" i="6"/>
  <c r="T76" i="6"/>
  <c r="T75" i="6"/>
  <c r="T73" i="6"/>
  <c r="T70" i="6"/>
  <c r="T48" i="6"/>
  <c r="T47" i="6"/>
  <c r="T44" i="6"/>
  <c r="T43" i="6"/>
  <c r="T39" i="6"/>
  <c r="T38" i="6"/>
  <c r="T30" i="6"/>
  <c r="T29" i="6"/>
  <c r="T27" i="6"/>
  <c r="T24" i="6"/>
  <c r="T23" i="6"/>
  <c r="T61" i="6"/>
  <c r="R154" i="6" l="1"/>
  <c r="R124" i="6"/>
  <c r="R151" i="6"/>
  <c r="H93" i="25"/>
  <c r="B93" i="25"/>
  <c r="R126" i="6"/>
  <c r="H91" i="25"/>
  <c r="B91" i="25"/>
  <c r="R84" i="6"/>
  <c r="B89" i="25"/>
  <c r="R83" i="6"/>
  <c r="H89" i="25" s="1"/>
  <c r="R121" i="6"/>
  <c r="R120" i="6"/>
  <c r="R111" i="6"/>
  <c r="H87" i="25" l="1"/>
  <c r="R82" i="6"/>
  <c r="R135" i="6"/>
  <c r="O135" i="6"/>
  <c r="R76" i="6"/>
  <c r="B85" i="25" l="1"/>
  <c r="H85" i="25"/>
  <c r="R123" i="6"/>
  <c r="H83" i="25"/>
  <c r="B83" i="25"/>
  <c r="H81" i="25"/>
  <c r="B81" i="25"/>
  <c r="R122" i="6"/>
  <c r="H79" i="25"/>
  <c r="B79" i="25"/>
  <c r="R79" i="6"/>
  <c r="H77" i="25"/>
  <c r="B77" i="25"/>
  <c r="H75" i="25" l="1"/>
  <c r="B75" i="25"/>
  <c r="B73" i="25"/>
  <c r="R106" i="6" l="1"/>
  <c r="R166" i="6"/>
  <c r="R136" i="6"/>
  <c r="R130" i="6"/>
  <c r="R119" i="6"/>
  <c r="H73" i="25" s="1"/>
  <c r="R118" i="6"/>
  <c r="R117" i="6"/>
  <c r="R116" i="6"/>
  <c r="R115" i="6"/>
  <c r="R114" i="6"/>
  <c r="R113" i="6"/>
  <c r="R112" i="6"/>
  <c r="R110" i="6"/>
  <c r="R109" i="6"/>
  <c r="R107" i="6"/>
  <c r="R105" i="6"/>
  <c r="R104" i="6"/>
  <c r="R78" i="6"/>
  <c r="R77" i="6"/>
  <c r="R75" i="6"/>
  <c r="R74" i="6"/>
  <c r="R73" i="6"/>
  <c r="R70" i="6"/>
  <c r="R48" i="6"/>
  <c r="R47" i="6"/>
  <c r="R44" i="6"/>
  <c r="R43" i="6"/>
  <c r="R39" i="6"/>
  <c r="R38" i="6"/>
  <c r="R30" i="6"/>
  <c r="R29" i="6"/>
  <c r="R28" i="6"/>
  <c r="R46" i="6" s="1"/>
  <c r="R27" i="6"/>
  <c r="R24" i="6"/>
  <c r="R23" i="6"/>
  <c r="R141" i="6"/>
  <c r="R146" i="6"/>
  <c r="R156" i="6" l="1"/>
  <c r="R85" i="6"/>
  <c r="P166" i="6"/>
  <c r="P136" i="6"/>
  <c r="P135" i="6"/>
  <c r="P134" i="6"/>
  <c r="P130" i="6"/>
  <c r="P120" i="6"/>
  <c r="P118" i="6"/>
  <c r="P117" i="6"/>
  <c r="P116" i="6"/>
  <c r="P115" i="6"/>
  <c r="P114" i="6"/>
  <c r="P113" i="6"/>
  <c r="P112" i="6"/>
  <c r="P110" i="6"/>
  <c r="P109" i="6"/>
  <c r="P108" i="6"/>
  <c r="P107" i="6"/>
  <c r="P106" i="6"/>
  <c r="P105" i="6"/>
  <c r="P104" i="6"/>
  <c r="P111" i="6"/>
  <c r="P78" i="6"/>
  <c r="P77" i="6"/>
  <c r="P75" i="6" l="1"/>
  <c r="P74" i="6"/>
  <c r="P73" i="6"/>
  <c r="P72" i="6"/>
  <c r="P70" i="6"/>
  <c r="P48" i="6"/>
  <c r="P47" i="6"/>
  <c r="P46" i="6"/>
  <c r="P45" i="6"/>
  <c r="P44" i="6"/>
  <c r="P43" i="6"/>
  <c r="P40" i="6"/>
  <c r="P39" i="6"/>
  <c r="P38" i="6"/>
  <c r="P30" i="6"/>
  <c r="P29" i="6"/>
  <c r="P28" i="6"/>
  <c r="P27" i="6"/>
  <c r="P26" i="6"/>
  <c r="P25" i="6"/>
  <c r="P24" i="6"/>
  <c r="P23" i="6"/>
  <c r="P141" i="6" l="1"/>
  <c r="P119" i="6"/>
  <c r="O120" i="6" l="1"/>
  <c r="O78" i="6"/>
  <c r="O118" i="6" l="1"/>
  <c r="O117" i="6" l="1"/>
  <c r="O75" i="6" l="1"/>
  <c r="O74" i="6"/>
  <c r="O106" i="6" l="1"/>
  <c r="O166" i="6"/>
  <c r="O107" i="6"/>
  <c r="O113" i="6" l="1"/>
  <c r="O77" i="6" l="1"/>
  <c r="O48" i="6"/>
  <c r="O30" i="6"/>
  <c r="O27" i="6"/>
  <c r="O108" i="6"/>
  <c r="O116" i="6"/>
  <c r="O115" i="6"/>
  <c r="O114" i="6"/>
  <c r="O47" i="6"/>
  <c r="O29" i="6"/>
  <c r="O28" i="6"/>
  <c r="O46" i="6" s="1"/>
  <c r="O112" i="6"/>
  <c r="O110" i="6"/>
  <c r="O109" i="6"/>
  <c r="O45" i="6" l="1"/>
  <c r="O39" i="6"/>
  <c r="O38" i="6"/>
  <c r="O44" i="6"/>
  <c r="O43" i="6"/>
  <c r="O40" i="6"/>
  <c r="O136" i="6"/>
  <c r="O73" i="6" l="1"/>
  <c r="O72" i="6" l="1"/>
  <c r="O134" i="6" l="1"/>
  <c r="O70" i="6" l="1"/>
  <c r="O105" i="6"/>
  <c r="O104" i="6" l="1"/>
  <c r="O26" i="6" l="1"/>
  <c r="O130" i="6"/>
  <c r="O154" i="6" s="1"/>
  <c r="O25" i="6" l="1"/>
  <c r="O24" i="6"/>
  <c r="O23" i="6"/>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5"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16" i="18" l="1"/>
  <c r="O15" i="18"/>
  <c r="O10" i="18"/>
  <c r="O5" i="18"/>
  <c r="O4" i="18"/>
  <c r="K16" i="18"/>
  <c r="K15"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54" i="6"/>
  <c r="P85" i="6"/>
  <c r="O85" i="6"/>
  <c r="T51" i="6"/>
  <c r="O6" i="18" s="1"/>
  <c r="R51" i="6"/>
  <c r="K6" i="18" s="1"/>
  <c r="P51" i="6"/>
  <c r="G6" i="18" s="1"/>
  <c r="O51" i="6"/>
  <c r="C6" i="18" s="1"/>
  <c r="O7" i="18" l="1"/>
  <c r="K7" i="18"/>
  <c r="G7" i="18"/>
  <c r="C7" i="18"/>
  <c r="T174" i="6"/>
  <c r="O28" i="18" s="1"/>
  <c r="R174" i="6"/>
  <c r="K28" i="18" s="1"/>
  <c r="T100" i="6"/>
  <c r="R100" i="6"/>
  <c r="T66" i="6"/>
  <c r="R66" i="6"/>
  <c r="T34" i="6"/>
  <c r="T54" i="6" s="1"/>
  <c r="R34" i="6"/>
  <c r="R54" i="6" s="1"/>
  <c r="O174" i="6"/>
  <c r="C28" i="18" s="1"/>
  <c r="P126" i="6"/>
  <c r="O126" i="6"/>
  <c r="C17" i="18" s="1"/>
  <c r="C24" i="18" s="1"/>
  <c r="P100" i="6"/>
  <c r="O100" i="6"/>
  <c r="P66" i="6"/>
  <c r="O66" i="6"/>
  <c r="P34" i="6"/>
  <c r="P54" i="6" s="1"/>
  <c r="O34" i="6"/>
  <c r="O54" i="6" s="1"/>
  <c r="G17" i="18" l="1"/>
  <c r="G24" i="18" s="1"/>
  <c r="P156" i="6"/>
  <c r="K17" i="18"/>
  <c r="K24" i="18" s="1"/>
  <c r="K30" i="18" s="1"/>
  <c r="O17" i="18"/>
  <c r="O24" i="18" s="1"/>
  <c r="O30" i="18" s="1"/>
  <c r="T156" i="6"/>
  <c r="O158" i="6"/>
  <c r="C26" i="18" s="1"/>
  <c r="C30" i="18" s="1"/>
  <c r="O156" i="6"/>
  <c r="P158" i="6"/>
  <c r="P178" i="6" s="1"/>
  <c r="G26" i="18" s="1"/>
  <c r="T158" i="6"/>
  <c r="T181" i="6" l="1"/>
  <c r="O181" i="6"/>
  <c r="F27" i="25" l="1"/>
  <c r="F29" i="25"/>
  <c r="F23" i="25"/>
  <c r="P174" i="6"/>
  <c r="G28" i="18" l="1"/>
  <c r="G30" i="18" s="1"/>
  <c r="P181" i="6"/>
  <c r="R158" i="6"/>
  <c r="U158" i="6" s="1"/>
  <c r="R181" i="6" l="1"/>
</calcChain>
</file>

<file path=xl/sharedStrings.xml><?xml version="1.0" encoding="utf-8"?>
<sst xmlns="http://schemas.openxmlformats.org/spreadsheetml/2006/main" count="1563" uniqueCount="570">
  <si>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</si>
  <si>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</si>
  <si>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</si>
  <si>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</si>
  <si>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</si>
  <si>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</si>
  <si>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</si>
  <si>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</si>
  <si>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</si>
  <si>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</si>
  <si>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</si>
  <si>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</si>
  <si>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</si>
  <si>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</si>
  <si>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</si>
  <si>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</si>
  <si>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</si>
  <si>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</si>
  <si>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</si>
  <si>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</si>
  <si>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</si>
  <si>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</si>
  <si>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</si>
  <si>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</si>
  <si>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</si>
  <si>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</si>
  <si>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</si>
  <si>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</si>
  <si>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</si>
  <si>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</si>
  <si>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</si>
  <si>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</si>
  <si>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</si>
  <si>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</si>
  <si>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</si>
  <si>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</si>
  <si>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</si>
  <si>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</si>
  <si>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</si>
  <si>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</si>
  <si>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</si>
  <si>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</si>
  <si>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</si>
  <si>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</si>
  <si>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</si>
  <si>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</si>
  <si>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</si>
  <si>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</si>
  <si>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</si>
  <si>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</si>
  <si>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</si>
  <si>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</si>
  <si>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</si>
  <si>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</si>
  <si>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</si>
  <si>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</si>
  <si>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</si>
  <si>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</si>
  <si>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</si>
  <si>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</si>
  <si>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</si>
  <si>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</si>
  <si>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</si>
  <si>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</si>
  <si>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</si>
  <si>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</si>
  <si>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</si>
  <si>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</si>
  <si>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</si>
  <si>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</si>
  <si>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</si>
  <si>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</si>
  <si>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</si>
  <si>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</si>
  <si>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</si>
  <si>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</si>
  <si>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</si>
  <si>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</si>
  <si>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</si>
  <si>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</si>
  <si>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</si>
  <si>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</si>
  <si>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</si>
  <si>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</si>
  <si>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</si>
  <si>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</si>
  <si>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</si>
  <si>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</si>
  <si>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</si>
  <si>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</si>
  <si>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</si>
  <si>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</si>
  <si>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</si>
  <si>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</si>
  <si>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</si>
  <si>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</si>
  <si>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</si>
  <si>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</si>
  <si>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</si>
  <si>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</si>
  <si>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</si>
  <si>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</si>
  <si>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</si>
  <si>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</si>
  <si>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</si>
  <si>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</si>
  <si>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</si>
  <si>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</si>
  <si>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</si>
  <si>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</si>
  <si>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</si>
  <si>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</si>
  <si>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</si>
  <si>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</si>
  <si>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</si>
  <si>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</si>
  <si>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</si>
  <si>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</si>
  <si>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</si>
  <si>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</si>
  <si>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</si>
  <si>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</si>
  <si>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</si>
  <si>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</si>
  <si>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</si>
  <si>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</si>
  <si>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</si>
  <si>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</si>
  <si>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</si>
  <si>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</si>
  <si>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</si>
  <si>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</si>
  <si>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</si>
  <si>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</si>
  <si>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</si>
  <si>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</si>
  <si>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</si>
  <si>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</si>
  <si>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</si>
  <si>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</si>
  <si>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</si>
  <si>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</si>
  <si>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</si>
  <si>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</si>
  <si>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</si>
  <si>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</si>
  <si>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</si>
  <si>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</si>
  <si>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</si>
  <si>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</si>
  <si>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</si>
  <si>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</si>
  <si>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</si>
  <si>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</si>
  <si>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</si>
  <si>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</si>
  <si>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</si>
  <si>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</si>
  <si>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</si>
  <si>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</si>
  <si>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</si>
  <si>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</si>
  <si>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</si>
  <si>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</si>
  <si>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</si>
  <si>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</si>
  <si>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</si>
  <si>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</si>
  <si>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</si>
  <si>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</si>
  <si>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</si>
  <si>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</si>
  <si>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</si>
  <si>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</si>
  <si>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</si>
  <si>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</si>
  <si>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</si>
  <si>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</si>
  <si>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</si>
  <si>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</si>
  <si>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</si>
  <si>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</si>
  <si>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</si>
  <si>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</si>
  <si>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</si>
  <si>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</si>
  <si>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</si>
  <si>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</si>
  <si>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</si>
  <si>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</si>
  <si>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</si>
  <si>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</si>
  <si>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</si>
  <si>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</si>
  <si>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</si>
  <si>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</si>
  <si>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</si>
  <si>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</si>
  <si>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</si>
  <si>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</si>
  <si>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</si>
  <si>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</si>
  <si>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</si>
  <si>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</si>
  <si>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</si>
  <si>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</si>
  <si>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</si>
  <si>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</si>
  <si>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</si>
  <si>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</si>
  <si>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</si>
  <si>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</si>
  <si>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</si>
  <si>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</si>
  <si>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</si>
  <si>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</si>
  <si>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</si>
  <si>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</si>
  <si>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</si>
  <si>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</si>
  <si>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</si>
  <si>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</si>
  <si>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</si>
  <si>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</si>
  <si>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</si>
  <si>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</si>
  <si>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</si>
  <si>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</si>
  <si>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</si>
  <si>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</si>
  <si>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</si>
  <si>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</si>
  <si>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</si>
  <si>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</si>
  <si>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</si>
  <si>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</si>
  <si>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</si>
  <si>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</si>
  <si>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Great Falls College Montana State University</t>
  </si>
  <si>
    <t>2100 16th Ave South</t>
  </si>
  <si>
    <t>Great Falls</t>
  </si>
  <si>
    <t>MT</t>
  </si>
  <si>
    <t>406.771.4317</t>
  </si>
  <si>
    <t>Weldele</t>
  </si>
  <si>
    <t>Oceane</t>
  </si>
  <si>
    <t>oceane.weldele@gfcmsu.edu</t>
  </si>
  <si>
    <t>406.771.4323</t>
  </si>
  <si>
    <t>Marr</t>
  </si>
  <si>
    <t>Shannon</t>
  </si>
  <si>
    <t>shannon.marr1@gfcmsu.edu</t>
  </si>
  <si>
    <t>403.771.4317</t>
  </si>
  <si>
    <t>406.771.4408</t>
  </si>
  <si>
    <t>Heidi Pasek</t>
  </si>
  <si>
    <t>Chief Academic Officer</t>
  </si>
  <si>
    <t>hpasek@gfcmsu.edu</t>
  </si>
  <si>
    <t>jpullum@gfcmsu.edu</t>
  </si>
  <si>
    <t>Assistive Technology Assistant: An assistant in Disability Services to coach students on using assistive technologies. About 60% of the students who use Disability Services are CTE students. Thus, this proposal requests funds for 60% of that position. As this is the third year of support, GFC MSU request 33% of that amount as this is the second year of support for this position.</t>
  </si>
  <si>
    <t>Assistive Technology Assistant</t>
  </si>
  <si>
    <t>Increase in student use of assistive technologies by 5% over baseline year (prior to hiring of assistant)</t>
  </si>
  <si>
    <t xml:space="preserve">CIT Faculty: Second year of funding for faculty in Computer Information Technology program to accommodate growth in computer programs, particularly in new programming program. </t>
  </si>
  <si>
    <t>CIT Faculty</t>
  </si>
  <si>
    <t>New Student Retention Coach</t>
  </si>
  <si>
    <t>R5</t>
  </si>
  <si>
    <t>Project/Program/Purchase Summary Number 4</t>
  </si>
  <si>
    <t>Assistive Technology Assistant. This is the third year of support for this half-time position; 75% represents the proportion of CTE students served. 33% of .75%, $13/hour, $13,520 annual.</t>
  </si>
  <si>
    <t>CIT faculty. This is the second year of support for this position; 66% of $43,709 base.</t>
  </si>
  <si>
    <t>New Student Retention Coach. This is the second year of funding for this position. 75% represents the proportion of CTE students served. 66% of 75% of $40,000 base.</t>
  </si>
  <si>
    <t>CCNA certification</t>
  </si>
  <si>
    <t xml:space="preserve">Completion of training and certification. </t>
  </si>
  <si>
    <t>CISCO networking registration, 3@ $600; CISCO CCNA exam fee, 10 @ $325; CCNA Security training fee, $900</t>
  </si>
  <si>
    <t>CIT adjunct faculty</t>
  </si>
  <si>
    <t xml:space="preserve">Offering these two courses in AY 2018-19, each once in the year. Goal is to have 5 students in each of the classes. </t>
  </si>
  <si>
    <t>R7</t>
  </si>
  <si>
    <t>Community College Cyber Summit</t>
  </si>
  <si>
    <t>CiT faculty Chris Mee to attend Community Ciollege Cyber Summit, Aug. 2-4, Gresham, OR</t>
  </si>
  <si>
    <t>Computer Science Summit</t>
  </si>
  <si>
    <t>Attend the conference and bring back 2 action items to implement.</t>
  </si>
  <si>
    <t>Online Accounting Courses</t>
  </si>
  <si>
    <t xml:space="preserve">Maintain and update content in tax-heavy courses of Payroll Accounting and Income Tax Fundamentals. Also update financial accounting and bookkeeping courses. </t>
  </si>
  <si>
    <t>Subscription to CPE Express online accounting courses for Program Director Kerry Dolan</t>
  </si>
  <si>
    <t>WASTC ICT conference</t>
  </si>
  <si>
    <t>CIT faculty Chris Mee, Western Academy Support and Training Center ICT educators conference, Jan. 3-4. Location not announced. Lodging, 4 nights @ $115; airfare $760; per diem, 5 days @ $46, ground transportation 2 @ $30. GFC MSU will follow all state travel regulations.</t>
  </si>
  <si>
    <t>CiT faculty Chris Mee to attend Community Ciollege Cyber Summit, Aug. 2-4, Gresham, OR. Lodging, 4 nights @ $115; Airfare $760; Per diem, 5 days @ $46; ground transportation, 2 @ $30. GFC MSU will follow all state travel regulations.</t>
  </si>
  <si>
    <t>Dental Assistant Laptops</t>
  </si>
  <si>
    <t>Birthing simulator</t>
  </si>
  <si>
    <t>Laptops for hybrid delivery in Dental Assistant program. 6 @ $1,000</t>
  </si>
  <si>
    <t>PTA Neurologic Course</t>
  </si>
  <si>
    <t>Birthing simulation mankin</t>
  </si>
  <si>
    <t xml:space="preserve">High Flow Nasal Cannula to train students in AHRC 170, 140 &amp; 245. In general It is to learn and demonstrate the use of High Flow Nasal Cannulas which is a relatively new but highly utilized treatment modality in respiratory care. We currently have no way to prepare students for this therapy. </t>
  </si>
  <si>
    <t xml:space="preserve">Students will pass AHRC 170, 140, &amp; 245 courses with a 74% or better. </t>
  </si>
  <si>
    <t>Teleflex MaxVenturi HFNC for Respiratory  Therapy courses.</t>
  </si>
  <si>
    <t xml:space="preserve">CIT faculty Chris Mee, WASTC ICT educators conference, Jan. 3-4. </t>
  </si>
  <si>
    <t xml:space="preserve">Physical Therapy Assistant Program Director Brad Bechard, neurologic specialist certification. Course fee $400, exam review fee $515, exam fee $800. </t>
  </si>
  <si>
    <t>Respiratory Ventilator</t>
  </si>
  <si>
    <t>Transport ventilator to train students in AHRC 170, 171, 140, 141,240,241,245, &amp; 246, In general It is to learn and demonstrate the use of transport mechanical ventilation. This unit will also be utilized in program service learning projects due to its compact nature in comparison to moving a full size, much more expensive unit around and off campus that frequently.</t>
  </si>
  <si>
    <t xml:space="preserve">Students will pass the above mentioned course with a 74% or better. </t>
  </si>
  <si>
    <t>Transport ventilator; estimate based on Philips Respironics Triology 202</t>
  </si>
  <si>
    <t>Respiratory Vibramatic Percussor</t>
  </si>
  <si>
    <t>Vibramatic Percussors for Respiratory Therapy courses AHRC 170, 140 &amp; 245. Devices are used for airway clearance therapy. These items will be used in lecture for demonstration and visualization and in simulation lab for therapy. We currently do not have equipment to teach this modality.</t>
  </si>
  <si>
    <t xml:space="preserve">Students will pass AHRC 170, 140 &amp; 245 with a 74% or better. </t>
  </si>
  <si>
    <t>SIM Hospital AV upgrade</t>
  </si>
  <si>
    <t xml:space="preserve">Students in the sim lab courses will pass with a minimum of 74%. </t>
  </si>
  <si>
    <t>Welding/Fabrication tooling for Break and Pipe Bender</t>
  </si>
  <si>
    <t>Respiratory Therapy: Vibramatic percussor</t>
  </si>
  <si>
    <t>Welding/fabrication: mini manderal, 5660, shipping $1000</t>
  </si>
  <si>
    <t>3.5" V die 10 ft long $3250, 3" V die 10 ft long $2,122, 2-4 ft section 3.7 punch $1248, 2-4ft sections 7C gooseneck punch $2264, 1-1/2" round tube die set $725, 1" square tube die set $890,  1-1/2" square tube die set $1290, shipping $500</t>
  </si>
  <si>
    <t>Welding ITW Conference</t>
  </si>
  <si>
    <t>Faculty will learn advanced AC GTAW and Pipe welding techniques to be passed on to students.  Faculty will introduce these concepts into current curriculum and develop a rubric for student assessment.  Students taking classes where these new techniques can be shared in SP-19 will be assessed using the developed rubric for the concept introduced.  Students will pass assessment with a 70% or higher.</t>
  </si>
  <si>
    <t>R5, R3</t>
  </si>
  <si>
    <t>R7, R3</t>
  </si>
  <si>
    <t>R4, R7</t>
  </si>
  <si>
    <t>R3, R4</t>
  </si>
  <si>
    <t>R3, R5</t>
  </si>
  <si>
    <t>R3, R7</t>
  </si>
  <si>
    <t>Professional development for CIT faculty Chris Mee to become certified in all levels of CCNA to deliver coursework and labs to student enrolled in Network Support and Security AAS program, which includes CCNA Routing and Switching, CCNA Connecting Networks, CCNA Scaling Networks and associated 8 CISCO CCNA certification exams.</t>
  </si>
  <si>
    <t>P2</t>
  </si>
  <si>
    <t>Enrollment in programming, networking, microcomputer support.</t>
  </si>
  <si>
    <t>MT ACTE Conference</t>
  </si>
  <si>
    <t>Conference attendance.</t>
  </si>
  <si>
    <t>R1, R2</t>
  </si>
  <si>
    <t xml:space="preserve">CIT Faculty Stipend </t>
  </si>
  <si>
    <t>CIT faculty. This is the second year of support for this position; 66% of Retirement 5.956%, TRS subsidy 4.72%, Social Security 6.2%, Medicare 1.45%, Workers Comp 1.45%, Unemployment .35%</t>
  </si>
  <si>
    <t>New Student Retention Coach. Retention coach: 66% of $7630 Social Security, unemployment, workers compensation, retirement. Figure represents 75% of total for serving CTE students. This is the second year of funding for this position.</t>
  </si>
  <si>
    <t>Assistive Technology Assistant. Figure represents 75% share of this half time position in working with CTE students. This is the third year of Perkins funding for this position. Retirement 5.956%, TRS subsidy 4.72%, Social Security 6.2%, Medicare 1.45%, Workers Comp 1.45%, Unemployment .35%</t>
  </si>
  <si>
    <t>Benefits for CIT faculty Chris Mee to conduct CyberSecurity workshops.  Social Security 6.2%, Medicare 1.45%, Workers Comp 1.45%, Unemployment .35%</t>
  </si>
  <si>
    <t>Assistive Techology Assistant. Health insurance, Represent 75% of this half-time position, of 33% (third year of funding) of 12,648. State regulations require full health benefits for any employee working half time. This individual does not hold another position in the college</t>
  </si>
  <si>
    <t>CIT FT faculty. Health insurance, 66% of 12,648 (second year of funding)</t>
  </si>
  <si>
    <t>CIT adjunct faculty. Retirement 5.956%, TRS subsidy 4.72%, Social Security 6.2%, Medicare 1.45%, Workers Comp 1.45%, Unemployment .35%</t>
  </si>
  <si>
    <t>CIT ajdunct faculty to offer Cyber security courses, 6 credits @ $735</t>
  </si>
  <si>
    <t>Registration for CIT Program Director to attend Teaching with Technology conference, Oct. 5-7, St. Louis MO</t>
  </si>
  <si>
    <t>Registration for Physical Therapy Assistant faculty Michael Hansell to attend American Physical Therapy Association Combined Sessions Meeting, Jan. 23-26, Washington DC</t>
  </si>
  <si>
    <t>Physical Therapy Assistant faculty Michael Hansell to attend American Physical Therapy Association Combined Sessions Meeting, Jan. 23-26, Washington DC. Lodging 5 nights @ $200, Airfare 900, per diem 6 days @ $46, ground transportation 2 @ $50.</t>
  </si>
  <si>
    <t>Science faculty Brenda Canine to attend Teaching Science with Case studies workshop in May in Buffalo NY. Registration $975.</t>
  </si>
  <si>
    <t>Science faculty Brenda Canine to attend Teaching Science with Case studies workshop in May in Buffalo NY. Lodging 7 nights @ $125, Airfare $1,050, per diem 9 days @ $46, rental car 7 days @$40; gas refill $80.</t>
  </si>
  <si>
    <t>Trades Exploration for Girls</t>
  </si>
  <si>
    <t>Trades Exploration for Girls workshop. Stipends for two instructors, 40 hours each @ $30.</t>
  </si>
  <si>
    <t>Trades Exploration for Girls instructors. Retirement 5.956%, TRS subsidy 4.72%, Social Security 6.2%, Medicare 1.45%, Workers Comp 1.45%, Unemployment .35%</t>
  </si>
  <si>
    <t>Mobile Welding Training</t>
  </si>
  <si>
    <t>Mobile welding  instructors. Retirement 5.956%, TRS subsidy 4.72%, Social Security 6.2%, Medicare 1.45%, Workers Comp 1.45%, Unemployment .35%</t>
  </si>
  <si>
    <t>Mobile Welding training for high schools. 2 instructors, $1,000 each</t>
  </si>
  <si>
    <t>Mobile welding training. Instructor lodging 2 nights @ $92, per diem 4 days @ $23, mileage for mobile unit 600 miles @ $.90</t>
  </si>
  <si>
    <t>Perkins Coordinator Charla Merja to attend NACTEI conference, May 12-16, Kansas City MO.</t>
  </si>
  <si>
    <t>Attendance at conference.</t>
  </si>
  <si>
    <t>Perkins Coordinator Charla Merja to attend NACTEI conference, May 12-16, Kansas. Lodging 4 nights @ $250, Airfare $700, per diem 5 days @ $46, ground transportation $50</t>
  </si>
  <si>
    <t>Perkins Coordinator Charla Merja to attend NACTEI conference, May 12-16, Kansas. Registration.</t>
  </si>
  <si>
    <t>Perkins state meeting</t>
  </si>
  <si>
    <t xml:space="preserve">Perkins Coordinator Charla Merja to attend required state meeting. </t>
  </si>
  <si>
    <t>Attendance at meeting.</t>
  </si>
  <si>
    <t>Perkins Coordinator Charla Merja to attend required state meeting. Car rental 2 days @ $55, gas refill $40, Lodging $95, per diem $23</t>
  </si>
  <si>
    <t>Stipend for CIT faculty Chris Mee to conduct CyberSecurity workshops. 50 hours @ $45</t>
  </si>
  <si>
    <t>Cyber Patriot Cyber Camp</t>
  </si>
  <si>
    <t>CyberPatriot Cyber Camp. Curriculum $1,150, instructor guides 2 @ $55, classroom supplies $200</t>
  </si>
  <si>
    <t>CyberPatriot Cyber Camp, 2 instructors</t>
  </si>
  <si>
    <t>CyberPatriot Cyber Camp, 2 instructors @ $700 each</t>
  </si>
  <si>
    <t>CyberPatriot Cyber Security camp. Fee for Lifelong Learning to manage registration.</t>
  </si>
  <si>
    <t>CIT Program Director Steve Robinett to attend Teaching with Technology Conference-St Louis, MO, Oct 5-7.</t>
  </si>
  <si>
    <t>Implementation of least one technique and/or tool presented in the academic year following the conference.</t>
  </si>
  <si>
    <t>Assist students with meeting the learning objectives of AHPT 215-Introduction to Orthopedics. Students must pass the course with a 76% grade in order to progress through the program.  Our goal is to have a 100% pass rate for this course regarding maintaining that 76% competency.  One way to meet this outcome is to make adjustments to the lab and lecture component through the updated material that will be presented in the Orthopedic sections at CSM.</t>
  </si>
  <si>
    <t>Nursing Program Director Russell Motschenbacher and faculty Deanna Hastings, Kaylene Strutz, Lauren Swant and Stephen Surz to attend the Nursing Nuts and Bolts conference, Aug. 2-5, in Minneapolis MN. The target audience for this conference includes nursing faculty and administration.  Objectives include making evidence based connections between the classroom, clinical, lab and simulation instructions. Learning activities to make connections to improve clinical reasoning.  Development of learning experiences based on NCLEX objectives.  Strategies for student success on the NCLEX (which we currently are struggling with).  This updated knowledge for faculty and leadership is likely to improve the skill and knowledge connection for the nursing students at Great Falls College.  Accreditation and QSEN training for administrators is also included and needed as the nursing program looks at initial accreditation.</t>
  </si>
  <si>
    <t xml:space="preserve"> The Board of Nursing rule states that “Programs shall maintain an annual NCLEX pass rate for first-time test takers that are no less than ten percentage points below the national average (ARM 24.159.630).” The NCLEX pass rates for the previous two ASN RN graduates has been 66.67% in 2016 and 64% in 2017. The national average for both years has been over 80%.  
The assessment of the attendance of this conference will be a cumulative improvement of first time NCLEX – RN pass rates to within 10% of the national average as required by the BON.  </t>
  </si>
  <si>
    <t>P17</t>
  </si>
  <si>
    <t>20 students will participate in the CyberCamp.</t>
  </si>
  <si>
    <t>P5</t>
  </si>
  <si>
    <t>R3</t>
  </si>
  <si>
    <t>Five programs are reviewed under the formal program review process, including enrollment demographics. This is a college-funded activity.</t>
  </si>
  <si>
    <t>Results of review.</t>
  </si>
  <si>
    <t>R6</t>
  </si>
  <si>
    <t>Industrial Technology</t>
  </si>
  <si>
    <t xml:space="preserve">Matt Gordon, Matthias Schalper, Van Jamison, Rick Matteson, Rick Burt, Scott Patera, Mike Meehan, Mike Puskas, Michael Henry, Chris Swanson, Aaron Boles, Howard Dliver, Bryan Conrad, Rhyno Stinchfield, Wes Crawford, Dan Rooney, Becky Smith, Kurtis Sparing, Cory Jassen, Scott Mahurin, Brad Talcott, Steve L'Heureaux, Mark yeager, Lyall Tesch, Tom Spika, Joe Flood, Chirs Canine, Joe Briggs, Bradley Gilchrist, Charla Merja, Brett Doney </t>
  </si>
  <si>
    <t>Spring Semester</t>
  </si>
  <si>
    <t>Welding</t>
  </si>
  <si>
    <t>Eric Bliss, Paul Leach, Steve Benjamin, Craig Warren, Ron Staley, Jess Hinderager, Kurtis Sparing, Tom Spika, Bob Reiman, Dan Rooney, Del Henke, Barry Garber, Lee Haven, Ed Gunter, Paul Hogan, Pete Pace, Bruce Lee, Lyall Tesch, Mark Yaeger, Landon Stubbs, John Stewart,</t>
  </si>
  <si>
    <t>Fall Semester</t>
  </si>
  <si>
    <t>Respiratory Therapy</t>
  </si>
  <si>
    <t>Bill Carmichael, Jim Eckstedt, Lorie Lacher, Ravi Virdi, Kit Robinson, Roberta Long, Bridgette Pence, Jacie Schoenen, Jamie Waltz, David Anderson, Mary Brinkley, Jamie McGraw, Kory Landwehr, Jody Harrington, Frankie Lyons, Heidi Pasek, Leonard Bates, Brian Cayko</t>
  </si>
  <si>
    <t>Computer Information Technology</t>
  </si>
  <si>
    <t>Tom Croskrey, Rob Rezek, Keith Head, Kristy McInerney, Denise Adamson, Doug Ormseth, Chris Judkins, Wayne Fehres, Jamie McGraw, John Frisbee</t>
  </si>
  <si>
    <t>Dental Hygiene, Dental Assisting</t>
  </si>
  <si>
    <t>Dr. Don Blevins, Dr. Kevin Fairhurst, Dr. Leighton Holley, Kristyn Lund, Dr. Daniel Hash, Tonette Hollingsworth, Dr. Sheldon Ivers, Dr. David Keim, AnnMarie Magill, Dr. Sam Maltby, Dr. Matthew Moen, Amanda Qualls, Tamara Walden, Robin Williams, Julie Barnwell, Rachael Bruce, Kim Dunlap, Frankie Lyons, Heidi Pasek, Brandy Piper</t>
  </si>
  <si>
    <t>Physical Therapy Assistant</t>
  </si>
  <si>
    <t>Andrea Johnson, Betty Holm, Connie Jensen, Danielle Pters, Dean Orvis, Emily Pfeifer, Frankie Lyons, Jeff Johnson, Jenna Dalla Mura, Jeremy Shaw, Karen Collier, Karen Thronton, Laurie Roberts, Linda Wurz, Louie Molen, Mary Goodell, Mike Davis, Mike Jensen, Nicole Herda, Robert Bohannon, Robert Picard, Shelly Davis, Theresa Stevens, Jesse Dykstra, Rodger Sidner, Mike Hansell, Brad Bechard</t>
  </si>
  <si>
    <t>Fall and Spring Semester</t>
  </si>
  <si>
    <t>2 and 3</t>
  </si>
  <si>
    <t>Trades Exploration for Girls. Instructor (from Helena to Great Falls) mileage 200 miles @ $.564, lodging 6 nights @ $92; per diem 6 days @$23</t>
  </si>
  <si>
    <t>Student Retention Coach: Second year of funding for the New Student Retention Coach, who is responsible for tracking and coaching new, first time students and encouraging them to register for classes during their second year. This position is assigned as a secondary advisor for all new, first time, degree seeking students. The coach contacts new students multiple times during the semester to ensure that they are making progress toward their academic goals and help them overcome potential barriers. The New Student Coach also assists admissions with helping new students complete the admissions process so they can register for their first semester. Additionally, this position will oversee the Essential Start program to help new students be better prepared for their first semester at GFC MSU.
The retention of new, full time, first time degree seeking students that started in fall dropped 11.6% between academic years 2014/15 and 2015/16. By having a position dedicated to assisting students with overcoming the barriers that prevent them from continuing in college, more students will be able to remain in school to complete their degrees. Working with admissions in the summer months will also allow students to register earlier, thus being better prepared for their first semester.</t>
  </si>
  <si>
    <t>Increase retention from fall18 to spring19 by 5% (compared to fall17-sp18);
Increase completion of Essential Start by 5% (Comparing fall17 to fall18 and sp18 to sp19)</t>
  </si>
  <si>
    <t>Implementation of at least two technique and/or tools presented at the conference in the academic year following the conference</t>
  </si>
  <si>
    <t>CIT faculty Chris Mee to attend Western Academy Support and Training Center ICT educators conference, Jan. 3-4. Location not yet announced. https://www.wastc.org/events/2019/1/3/wastc-2019-ict-educators-conference</t>
  </si>
  <si>
    <t>Implementation of least two techniques and/or tools presented at the conference in the academic year following the conference</t>
  </si>
  <si>
    <t>The Dental Assistant program is requesting 6 laptops or tablets to enhance student learning in our lecture classroom. Our request is based on 2 justifications: 
1. Beginning Fall 2018, the Dental Assistant program will welcome our first group of hybrid students. Hybrid students will attend class via video conferencing with the on-campus students. Room R167 on the GFC campus has been converted for video conferencing which will accommodate full-class interactions. However, both DA instructors incorporate small-group work into their teaching. In order to accommodate this, laptops or tablets can be used in the classroom. For small-group collaboration, students off campus will video chat (using a video chat platform such as google hangouts, or messenger) with on-campus students. 
2. Laptops/tablets will also be used to access Eaglesoft software for real-time training in radiology and dental office management lectures. Currently, Eaglesoft is utilized in the lab or clinic setting which tends to be more stressful for students when learning how to use the software. Moving initial Eaglesoft training into the classroom will allow students to utilize the practice version of the software with an instructor available in real-time. 
*The Dental Hygiene program also uses the R167 classroom and would utilize the laptops/tablets in their instruction.</t>
  </si>
  <si>
    <t xml:space="preserve"> 80% of students will pass the following assessments: 
1. Eaglesoft charting in DENT 116, DENT 123, DENT 124, &amp; DENT 140 
2. Eaglesoft appointment scheduling in DENT 116  
3. Eaglesoft use for viewing dental x-rays in DENT 116, DENT 120, &amp; DENT 121
90% of students will pass the following assessments: 
1. Peer review for each group assignment in DENT 116, DENT 123, DENT 124, &amp; DENT 140
2. Instructor review for each group assignment in DENT 116, DENT 123, DENT 124, &amp; DENT 140
3. Instructor review for final restorative procedure in DENT 124
4. Clinical evaluator review for restorative clinic rotations in DENT 123, DENT 124, &amp; DENT 195</t>
  </si>
  <si>
    <t xml:space="preserve">This request is for Perkins funding to purchase a Birthing Simulator to be used by both the Registered Nurse and Practical Nurse Programs.   
At local clinical sites Practical Nurse students are not allowed on the obstetric, pediatric or neonatal units, therefore they have a complete lack of hands on skills that are an essential part of nursing care.  Students leaving Great Falls and working in smaller facilities around the state are lacking these basic hands on skills because of this which may negatively impact patient outcomes. 
Simulation has been and continues to be widely used at Great Falls College MSU.  Students who can experience simulated emergency and routine situations are better able to give safe and appropriate care to an actual human patients.  At Great Falls College MSU, obstetric simulation is used to teach cooperation and coordination of care in both emergency and nonemergency situations. Student exposed to these situations through simulation are better trained and prepared for real life nursing emergencies in the obstetrical setting.  The ability to provide high fidelity simulation is an acceptable substitute for the Practical Nurse student and supplement to the Registered Nurse student.  </t>
  </si>
  <si>
    <t xml:space="preserve">Evaluation and assessment will be based on 100% of nursing students being exposed to and educated on birthing scenarios in either their live clinical or simulation with the birthing simulator.  </t>
  </si>
  <si>
    <t>Preparation of the exam consists of reading peer reviewed research, completion of a 32 hour prep course, and experience with direct patient care suffering from a neurologic deficit, which in turn will carry over into the classroom regarding student learning outcomes.  Exam content includes expertise in vestibular rehabilitation, neuro rehabilitation, and use of orthotics for patients suffering from neurological deficits.  Updated information will then be supplemented into AHPT 206 Pathophysiology, AHPT 201 PTA II and AHPT 213 Neurorehab.</t>
  </si>
  <si>
    <t xml:space="preserve">Continuation request for funds to upgrade AV gear for conducting, monitoring and debriefing sim lab. 2017-18 funds were used to purchase the first stage of equipment needed. Healthcare MT funds also were leveraged for this project. This request will continue to complete the upgrade. </t>
  </si>
  <si>
    <t>A press break and pipe bender were purchased during the remodel of the welding and fabrication area but have limited tooling.  The additional tooling will allow us to work with students and industry on much broader projects.  Tooling in this proposal will fit into the current course structures of basic Fabrication, Intro to Structural Steel, and Fabrication.  Last semester we had the opportunity to work with an industry partner on bending parts with the press break to give students practical, hands-on applications, however we did not have the proper tooling required.  The objective is to understand the basics of bending and forming steel materials and how that applies to the fabrication process.</t>
  </si>
  <si>
    <t xml:space="preserve">All students in the fabrication program will be required to set up equipment, change out tooling, and bend pieces of steel with both the break and pipe bender.   Ten students will pilot a program to work to industry partners specifications with a 95% accuracy on 100 fabricated parts. </t>
  </si>
  <si>
    <t>Welding faculty Doug Zander, Monte Cobb, Tyler Redding, Scott Hursh and Joel Sims to attend ITW conference July 17-19 in Appleton, WI, to become more knowledgeable on the Miller welding equipment we currently have in the shop and to get information on teaching strategies. With the changes coming with 8 week block scheduling we will need to determine what can be stream lined in the curriculum.  American Welding Society and Miller welding will have information to help with the transition.</t>
  </si>
  <si>
    <t>From the mentoring/coaching of Cyber Patriot Competitions, Collegiate Cyber Defense Competitions, and National Cyber League Competitions, the students will become more proficient in Cyber Defense and system hardening leading to advancement into future competitions nationwide leading.  A goal of 50% advancement to the next level of competition the first year and 60% to 80% in consecutive years would be met through the ability to mentor and coach the students during the school year.</t>
  </si>
  <si>
    <t xml:space="preserve">PTA faculty Michael Hansell to Physical Therapy Association Combined Sessions Meeting January 23-26, in Washington, DC.  CSM is a comprehensive meeting for all sections or areas of Physical Therapy from all over the country.  He will concentrate on sections focusing on PT/PTA education and Orthopedics.  </t>
  </si>
  <si>
    <t xml:space="preserve">At least 2 case studies will be incorporated into A and P curriculum. 
Outcomes will be measured by comparing previous years assessments (pre-implementation) to the scores from the cohort which utilizes the case study curriculum (post-implementation) Several modules in A and P have been identified where a case study activity could be utilized to augment content.  Dr. Canine usually has between 40-70 student in A and P per semester.  </t>
  </si>
  <si>
    <t xml:space="preserve">The Great Falls Mobile welding unit is a valuable resource for creating relationships and pathways with area high schools.  Taking the mobile welding unit to a school with limited or no welding equipment would provide students the opportunity for exposure to welding. Proposal is to work with two area high schools to provide extensive welding training.  At the end of the training students, would attempt a qualification test under AWS guidelines.  This would hopefully encourage students to seek a higher skill level and expose them to processes they  otherwise might never see. </t>
  </si>
  <si>
    <t>Expose a minimum of six students at each of two schools to processes otherwise not exposed. All students will be required to complete a qualification test after instruction.
Have one student at each school pass a qualification test.</t>
  </si>
  <si>
    <t xml:space="preserve">This is a request to fund CyberPatriot Cyber Camps to be held on campus in the summer of 2019.  These camps are designed to support and continue cooperation with our high school CyberPatriot programs and students.  This camp is designed to provide skill training for future CyberPatriot competitions which the students compete in throughout the following school year.  As Cyber Security continues to be at the forefront of technology, equipping our next generation of technology leaders with the ability to harden and secure our Cyber World is increasingly important and vital skill.   
</t>
  </si>
  <si>
    <t>Trades Division Director Joel Sims, welding faculty Monte Cobb and Perkins Coordinator Charla Merja to attend the Montana State ACTE conference Oct 19-20 in Billings. Lodging 3 people, 2 nights @ $92; per diem 3 people, 3 days @$23; mileage personal car, 434 miles @ $.262.</t>
  </si>
  <si>
    <t>Registration ($190 each) for welding faculty Monte Cobb and Perkins Coordinator Charla Merga to attend the Montana State ACTE conference Oct 19-20 in Billings.</t>
  </si>
  <si>
    <t xml:space="preserve">CIT faculty Chris Mee to attend Community College Cyber Summit, Aug. 2-4, Mt Hood Community College, Greshan, OR. To assist in developing new Cyber Center and Cyber Security AAS curriculum. </t>
  </si>
  <si>
    <t>One-year subscription for Accounting Program Director Kerry Dolan to access Certified Public Accountants CPE Express online courses , including but not limited to: financial, managerial and governmental accounting; attestation, behavioral ethics, business law, management, finance and income taxes. Information will be used to update course content.</t>
  </si>
  <si>
    <t>Science faculty Brenda Canine to attend Incorporating Case Studies into Health Science Instruction workshop in May in Buffalo NY. Attending this conference will enable Dr. Canine to learn how to create and incorporate case studies into health sciences courses. The specific target for this training and implementation would be the pre-Health Science programs (eg. A and P).</t>
  </si>
  <si>
    <t>Mobile welding training. 4"x8' 11gauge metal sheets 2 @ $99.75; wire, shielding gas, contact tips, $100.</t>
  </si>
  <si>
    <t xml:space="preserve">Cyber Patriot Cyber Camps: Classroom materials, such as handouts; camp marketing materials, such as posters, table top cards, etc.    </t>
  </si>
  <si>
    <t>Trades Exploration for Girls. Posters, handouts, invitations, etc.</t>
  </si>
  <si>
    <t>CIT Program Director Steve Robinett and faculty Chris Mee to attend MUS system Computer Science Instructor Summit, July 2018, Billings, to discuss initiatives, share best practices, discuss articulation agreements and strengthen professional relationships.</t>
  </si>
  <si>
    <t>Compensation for CIT faculty Chris Mee to offer Cyber Patriot Workshops throughout the year prior to Cyber Patriot Competitions.</t>
  </si>
  <si>
    <t>Trades Division Director Joel Simms, welding faculty Monte Cobb and Perkins Coordinator Charla Merja to attend the Montana State ACTE conference Oct 19-20 in Billings.  The purpose is to Support Statewide pathways with other career and technical educators across the state possibly enhancing dual credit opportunities.</t>
  </si>
  <si>
    <t>Teaching w Technology conference</t>
  </si>
  <si>
    <t>Respiratory Nasal Cannula</t>
  </si>
  <si>
    <t>CIT Program Director, Steve Robinett, Teaching with Technology conference, Oct. 5-7, St. Louis MO. Lodging 3 nights @ $227, Airfare 590, ground transportation 2 @ $30, per diem 3 days @ $46.</t>
  </si>
  <si>
    <t>PTA Combined Sessions Conference</t>
  </si>
  <si>
    <t>Nursing Nuts and Bolts Conference</t>
  </si>
  <si>
    <t>Teaching Science w Case Studies Conference</t>
  </si>
  <si>
    <t>NACTEI Conference</t>
  </si>
  <si>
    <t>Dental Infection Control Conference</t>
  </si>
  <si>
    <t xml:space="preserve"> 95% of students pass quizzes with 75% or better if applicable.  For clinic I would like to see 95% of students pass clinic IV with 80% or better if applicable.</t>
  </si>
  <si>
    <t>Dental Hygiene and Assisting faculty Robin Williams, Dental Infection Control Boot Camp, Jan. 2019, Location to be announced. Registration $750</t>
  </si>
  <si>
    <t xml:space="preserve">Dental Hygiene and Assisting faculty Robin Williams, Dental Infection Control Boot Camp, Jan. 2019, Location to be announced.  Airfare, $850, Lodging 4 nights @ $220, Ground transportation 2 @ $50, per diem 5 days @ $46 </t>
  </si>
  <si>
    <t>Program Review</t>
  </si>
  <si>
    <t>ADEA conference, Julie Barnwell</t>
  </si>
  <si>
    <t>Dental Hygiene Program Director Julie Barnwell to attend American Dental Association conferrence March 16-19 in Chicago IL.</t>
  </si>
  <si>
    <t>Return with at least two currriculum changes or teaching delivery changes to implement in the dental hygiene program.</t>
  </si>
  <si>
    <t>Dental Hygiene Program Director Julie Barnwell to attend American Dental Association conferrence March 16-19 in Chicago IL. Registration.</t>
  </si>
  <si>
    <t>Dental Hygiene Program Director Julie Barnwell to attend American Dental Association conferrence March 16-19 in Chicago IL. Airfare $550, Lodging 5 nights @ $200, Per diem 6 days @ $46, Ground transportation 2 @ $30.</t>
  </si>
  <si>
    <t>National Council for Workforce Ed, Heidi Pasek</t>
  </si>
  <si>
    <t xml:space="preserve">Faculty member Robin Williams, who teaches in both the Dental Assistant and Dental Hygiene programs will attend a 3-day OSAP Infection Control Boot Camp in January 2019.   It is important for the instructor teaching the Theory of Infection Control and Disease Prevention course for both DA and DH students to stay current regarding dental infection control protocols and rules. </t>
  </si>
  <si>
    <t>Trades Exploration for  Girls. Fee to Lifelong Learning to manage registration $100.</t>
  </si>
  <si>
    <t>R9</t>
  </si>
  <si>
    <t>Birthing simulator 2-year service plan</t>
  </si>
  <si>
    <t>Plasma Cutting Table</t>
  </si>
  <si>
    <t>CNC cutting process is widely used throughout the welding and fabrication industry.  It is important for welding/fabrication students to have a basic understanding of the process and how it operates.  The program is currently unable to offer this as the current table is not operable due to outdated software and hardware.  Having access to this process will provide  the opportunity to offer the basic understanding industry partners would like to have. The objective is to understand the basics of CNC plasma cutting which is widely used throughout industry and how that applies to the fabrication process.</t>
  </si>
  <si>
    <t xml:space="preserve">All student in the fabrication program will be required to set up equipment to cut basic shapes for fabrication to a set of perimeters.  Each student will receive instruction on how to set parameters of the machine and produce a minimum of three cut pieces to a specified tolerance. </t>
  </si>
  <si>
    <t>Welding/fabrication Plasma Cutting Table</t>
  </si>
  <si>
    <t>Chief Academic Officer Heidi Pasek and Workforce Development Director to attend National Council for Workforce Education, Sept. 25-28, Clearwater FL.</t>
  </si>
  <si>
    <t>Biology Study Models</t>
  </si>
  <si>
    <t>Provide instructional support to increase use of support services (biology models) by health care students in human biology courses that are prerequisites to allied health CTE programs. These models would be placed in the Academic Success Center, the Veterans Success Center and the Native American Enrichment Center.  All three centers are used for studying and preparing for exams.</t>
  </si>
  <si>
    <t>Documentation of model use.</t>
  </si>
  <si>
    <t>P7</t>
  </si>
  <si>
    <t>Biology study models: Skeleton $717; Brain $582; Arms 6 @ 602.82; Legs 6 @ $631.52; Larynx, heart, lung $149; Male reproductive $61.56; Female reproductive $84.73; Liver $35.10; Head/neck 3 @ $3,758.</t>
  </si>
  <si>
    <t>Pullum</t>
  </si>
  <si>
    <t>Jeri</t>
  </si>
  <si>
    <t>406.771.5120</t>
  </si>
  <si>
    <t>Project/Program/Purchase Summary Number 36</t>
  </si>
  <si>
    <t>NACEP conference</t>
  </si>
  <si>
    <t xml:space="preserve">1.) After attending the conference, write a report analyzing our current dual enrollment courses and programs with specific recommendations for improvement to submit to the Executive Team. The improvements would impact GFC MSU’s 300+ dual enrollment students.
2.) Create a formal evaluation and assessment process for the dual credit courses.
3.) Host a meeting in which high school instructors and the college department chairs and faculty meet to align curriculum and discuss course outcomes.
</t>
  </si>
  <si>
    <t>Division Director Leanne Frost to attend NACEP conference Nov. 4-6 in San Antonioa, TX. Lodging 4 nights @ $287.50, Airfare $700, Shuttle $60, per diem 5 @$46.</t>
  </si>
  <si>
    <t xml:space="preserve">Leanne Frost, to attend NACEP conference, Nov. 4-6, San Antonio, TX, in order to 1.) create an evaluation and assessment process for the dual credit classes, 2.) strengthen dual credit and apprenticeship partnerships between high schools and the college, and  3.) better align curriculum between high school and the college. Although Dr. Frost oversees general education programs, she also oversees accounting and computer science programs. The knowledge and skills from this conference will benefit all dual enrollment programs. The college believes it is important to have an academic representative at this conference. Dr. Frost intends to return with knowledge and skills to improve dual enrollment across the campus. </t>
  </si>
  <si>
    <t>Added using savings from Project 24</t>
  </si>
  <si>
    <t>Reduced as one nursing faculty is unable to attend'</t>
  </si>
  <si>
    <t>Added from savings in Project 24.</t>
  </si>
  <si>
    <t>CIT  faculty Chris Mee to attend Computer Science Summit, July 2018, in Helena. Rental car 1 day @ $50, $80 gas refill, per diem 1 people 1 day @ $23</t>
  </si>
  <si>
    <t>Nursing Program Director Russell Motschenbacher and faculty  Stephen Wurz and Kaylene Strutzto attend Nuts and Bolts for Nursing Educators conference, Aug. 2-5, Minneapolis MN. Lodging 3 people 3 nights @ $152, Airfare 3 @ $522.30, per diem 3 people 4 days @ $46, ground transportation 4 days @ $50, gas refill $40</t>
  </si>
  <si>
    <t>Nursing Program Director Russell Motschenbacher and faculty Deanna Hastings, Kaylene Strutz, and Stephen Wurz to attend Nuts and Bolts for Nursing Educators conference, Aug. 2-5, Minneapolis MN. Registration 3 @ $435</t>
  </si>
  <si>
    <t>Iincreased to allow one more attendee</t>
  </si>
  <si>
    <t>Project/Program/Purchase Summary Number 37</t>
  </si>
  <si>
    <t>Montana Society of Certified Public Accountants</t>
  </si>
  <si>
    <t>Request to send Kerry Dolan, Accounting Faculty member to a tax update conference presented by the Montana Society of Certified Public Accountants.  The specific date/location have not been announced yet, but this is typically a 2-day conference that would not be any further away than Billings, MT.  This conference also counts as continuing education credits required for the instructor’s Certified Public Accountant license.</t>
  </si>
  <si>
    <t xml:space="preserve">There have been significant federal tax rule changes.  The textbooks have not yet been updated for these changes so I plan to use the information gained at this conference to create updated content for approximately 20%-30% of the content taught in the ACTG 211, Income Tax Fundamentals, course.  The updated content will take the form of handouts and video presentations available in the online course.  Students will be assessed on their understanding of the new tax rules by passing a comprehensive final at the end of the semester (with a benchmark of 75% of students passing the final exam).  </t>
  </si>
  <si>
    <t>Addition of one individual to professional development</t>
  </si>
  <si>
    <t>Welding faculty Doug Zander, Monte Cobb, to attend ITW conference July 17-19 in Appleton, WI. Lodging 2 people, 4 nights @ $92; Per diem, 2 people, 5 days @ $46; Airfare 2 @ $500; ground transportation 2 people 2 trips  @ $25.</t>
  </si>
  <si>
    <t>Compensation for instruction for new Cybersecurity required courses: CCNA Security, and Ethical Hacking and Network Security. NOTE: This project was moved to the college's budget as it was determined that the adjunct was not the individual teaching the new courses.</t>
  </si>
  <si>
    <t>This expense was moved to college budget.</t>
  </si>
  <si>
    <t>Neurologic Specialist Certification is designed to identify and define physical therapy specialty areas and to formally recognize PTs who have attained advanced knowledge and skills in those areas.
NOTE: Faculty was unable to take the course and exam this year.
Preparation of the exam consists of reading peer reviewed research, completion of a 32 hour prep course, and experience with direct care of patients suffering from a neurologic deficit, which in turn will carry over into the classroom regarding student learning outcomes as seen with testing within the Physical Therapist assistant program.  Exam content includes expertise in vestibular rehabilitation, neuro rehabilitation, and use of orthotics for patients suffering from neurological deficits.  Updated information will then be supplemented into AHPT 206 Pathophysiology, AHPT 201 PTA II and AHPT 213 Neurorehab.
The certification consists of an online application and examination process.  In order to pass the exam the applicant must demonstrate knowledge and skills applied through years of research, study, and hands on experience as documented from the last 10 years within the profession.  Included in this certification is a corresponding course that preps for successful completion of the exam.  The knowledge gained through the course will be transferred to practices at the level of the students in the Physical Therapist Assistant program.</t>
  </si>
  <si>
    <t>Faculty unable to take course and exam this year.</t>
  </si>
  <si>
    <t>Division Director Leanne Frost to attend NACEP conference Nov. 4-6 in San Antonioa, TX. Registration</t>
  </si>
  <si>
    <t>Budget for Project #36</t>
  </si>
  <si>
    <t>Budget for Project #37</t>
  </si>
  <si>
    <t>Project/Program/Purchase Summary Number 38</t>
  </si>
  <si>
    <t>Surg Tech Training Materials</t>
  </si>
  <si>
    <t>The improvement will be measured by 80% of the students receiving an 80% or higher in all both lecture classes and the 3 clinical rotations.  100% of the students will receive an 80% or higher on the CST exam.  I also plan on looking at and comparing their preceptor evaluations from previous years’ evaluations.</t>
  </si>
  <si>
    <t>The AST surgical Procedure Power Points is a yearly subscription which grants access to one instructor to share with their students.  The power points would be used in 5 different classes in the surg tech program; Surgical Procedures I, Clinical I, Surgical Procedures II, Clinical II, and Internship.  The packet includes 77 different step-by-step surgeries that would benefit the students and better prepare them for tests and actual hands on surgery.</t>
  </si>
  <si>
    <t>Project/Program/Purchase Summary Number 39</t>
  </si>
  <si>
    <t>Surg Tech Classroom Chromebooks</t>
  </si>
  <si>
    <t xml:space="preserve">Students will be better prepared for their national CST exam.  The improvement will be measured by 90% of the students receiving an 80% or higher on the CST exam. </t>
  </si>
  <si>
    <t>Budget for Project #38</t>
  </si>
  <si>
    <t>Chrome books to be used for tests and quizzes in all of the surg tech classes. 15 @ $290 each</t>
  </si>
  <si>
    <t>Budget for Project #39</t>
  </si>
  <si>
    <t>Project/Program/Purchase Summary Number 40</t>
  </si>
  <si>
    <t>Implement two curriculum changes in the dental hygiene program.</t>
  </si>
  <si>
    <t>Dental Hygiene program director Julie Barnwell to attend ADHA 2019 Annual Conference will be held in Louisville, KY, Friday, June 21 – Sunday, June 23.</t>
  </si>
  <si>
    <t>Dental Hygiene program director Julie Barnwell to attend ADHA 2019 Annual Conference will be held in Louisville, KY, Friday, June 21 – Sunday, June 23. Airfare $550, Lodging 5 nights @$200, Ground transportation 2 @ $30, Per diem 6 days @$46</t>
  </si>
  <si>
    <t>Budget for Project #40</t>
  </si>
  <si>
    <t>Dental Hygiene ADHA conf</t>
  </si>
  <si>
    <t>Project/Program/Purchase Summary Number 41</t>
  </si>
  <si>
    <t>CIT Optical Time Domain Reflectometer</t>
  </si>
  <si>
    <t>100% of the students in ITS 125 Fundamentals of Voice &amp; Data Cabling would be trained on this piece of industry equipment.</t>
  </si>
  <si>
    <t>R4</t>
  </si>
  <si>
    <t xml:space="preserve">The Optical Time Domain Reflectometer (OTDR) is used to test Fiber in CIT.  As we continue to  move forward in the transport of data in cabling and fiber becomes a main component of structured cabling and wiring of buildings, this tool that will be part of the items  a trained technician will have to be able to use. Students would benefit by being able to test equipment exactly as they will be required to do so in the field. </t>
  </si>
  <si>
    <t>The Optical Time Domain Reflectometer (OTDR) is used to test Fiber in CIT.</t>
  </si>
  <si>
    <t>Budget for Project #41</t>
  </si>
  <si>
    <t>Project/Program/Purchase Summary Number 42</t>
  </si>
  <si>
    <t>The measurement for self-assessment will be indicated by incorporating 2-4 self-assessment assignments with in the dental hygiene program.  A reflection paper by dental hygiene students will reflect that 85% of students correctly describe steps involved in self-assessment as well as the advantages of the activity. Additionally, 4-6, test questions will be included in classroom summative assessment. Eight five percent of student will pass summative assessment with 75% or higher test grade.   Outcome for skills sheet updates will be indicated by 85% of dental hygiene students will pass the skills assessment in clinic with an 85% on the assessment. Thus demonstrating that the new skill has been effectively incorporated into the curriculum.</t>
  </si>
  <si>
    <t xml:space="preserve">This professional development is designed got dental hygiene instructor Kim Dunlap to visit the Central Community College dental hygiene program in Hastings, NE. Two goals are set for this visit. First is to discuss self-assessment skills utilized at the out of state program and second is to compare and update competency/skills in the clinical portion of the program. During the recent accreditation site visit one suggestion is to incorporate self-assessment techniques into dental hygiene curriculum. Self-assessment techniques will be observed and incorporated into the program at GFC MSU. This program change will improve student understanding of how and when to use self-assessment.   Self-assessment is a “learned skill” yet it is a difficult concept to incorporate into a curriculum.  Students need to taught strategies to self-assess and be given opportunities to practice and refined these skill.  Competency/skills sheet are used in each semester of dental hygiene program.  It is important to update the skills sheet to keep aligned with current technology and standard of care.  A comparison of skills sheets will help determine which skills sheet are relevant and which ones, if any, are in need of updating.  This process will update clinical dental hygiene curriculum. </t>
  </si>
  <si>
    <t>Dental Hygiene faculty travel to peer program</t>
  </si>
  <si>
    <t>Dental hygiene instructor Kim Dunlap to visit the Central Community College dental hygiene program in Hastings, NE. Airfare $800, Lodging 4 nights @ $130, Per diem 5 days @$46, Car rental 5 days @$38, gas $40</t>
  </si>
  <si>
    <t>Budget for Project #42</t>
  </si>
  <si>
    <t>New student retention coach health insurance. 66% of 12648 (second year of funding)</t>
  </si>
  <si>
    <t>Actual cost. Position vacated in Sept.</t>
  </si>
  <si>
    <t>Sim Hospital Manikins: Bandage simulator $716, Clinical Chloe 2 @1899, Nursing Kelly 2 @ 2899, Shipping $308</t>
  </si>
  <si>
    <t>Actual cost</t>
  </si>
  <si>
    <t>Actual cost moves this to minor equipment</t>
  </si>
  <si>
    <t>Sim Hospital AV upgrade: iPod touch 2 @ $200, Sling studio camera link 7 @$350, Sling studio battery 2 @ $150, Axis 1080p camera 3 @ $2500, cables and adapters $1,000</t>
  </si>
  <si>
    <t xml:space="preserve">Registration ($250 each) for selding faculty Doug Zander, Monte Cobb to attend ITW conference July 17-19 in Appleton, WI. </t>
  </si>
  <si>
    <t>Project/Program/Purchase Summary Number 43</t>
  </si>
  <si>
    <t>Ind Tech Drill Press</t>
  </si>
  <si>
    <t>Each student will receive instruction on how to operate the drill press to machine and produce a machining skill project to specified NIMS tolerance. 100% of the students will be required to use the additional equipment. 75% of students completing the course will demonstrate proper use and set up of the equipment to industry standards.</t>
  </si>
  <si>
    <t>The Industrial Tech program has a machining component.  The current drill press is not to the standards required to meet course and program outcomes or the accuracy of NIMS standards.</t>
  </si>
  <si>
    <t>Industrial Technology drill press $3,300, Tooling $300</t>
  </si>
  <si>
    <t>Budget for Project #43</t>
  </si>
  <si>
    <t>Industrial Tech Drill Press</t>
  </si>
  <si>
    <t>Chief Adademic Officer Heidi Pasek, Workforce Development Director Heather Palermo and Trades Director Joel Sims  to attend National Council for Workforce Education, Sept. 25-28, Clearwater FL. Registration 3 @ $700.</t>
  </si>
  <si>
    <t>Chief Adademic Officer Heidi Pasek, Workforce Dev Director Heather Palermo and Trades Director Joel Sims and to attend National Council for Workforce Education, Sept. 25-28, Clearwater FL. Lodging 3 people 3 nights @$205, Airfare 3 @m$800, Per diem 3 people 4 days @ $46</t>
  </si>
  <si>
    <t>Accounting Program Director Kerry Dolan to attend Tax Practitioner/Employment Law conf. Registration $780,</t>
  </si>
  <si>
    <t>Accounting Program Director Kerry Dolan to attend Montna Soceity of Certified Public Accountants, Billings, Date to be announced. Lodging  1 night $180, Per diem, 2 days @ $23, Mileage 370 miles @ $.261</t>
  </si>
  <si>
    <t>Budget for Project #44</t>
  </si>
  <si>
    <t>Project/Program/Purchase Summary Number 44</t>
  </si>
  <si>
    <t>Physical Therapy Lab Equipment</t>
  </si>
  <si>
    <t xml:space="preserve">AHPT 201 prepares the students to become entry level therapists by training students how to apply traction, e-stim, and ultrasound in lab prior to entering into their clinicals.
Additionally, it will help with the pass rates of the National Physical Therapist Assistant Examination (NPTAE) for the Physical Therapist Assistant licensure.   This will be for potentially a class of 20 students. </t>
  </si>
  <si>
    <t>E-stim.ultrasound combo unit 2 @ $3,800. Cervical traction system $466, shipping $47</t>
  </si>
  <si>
    <t>Budget for Project #45</t>
  </si>
  <si>
    <t>Project/Program/Purchase Summary Number 45</t>
  </si>
  <si>
    <t>Nursing Student ID Maker</t>
  </si>
  <si>
    <t xml:space="preserve">Evaluation and assessment will be based on 100% of nursing students having GFCMSU Nursing Program photo ID’s.  </t>
  </si>
  <si>
    <t>Nursing student ID maker $1,999, ID card slot punch $76, shipping $200</t>
  </si>
  <si>
    <t>Project/Program/Purchase Summary Number 46</t>
  </si>
  <si>
    <t>ACT Workforce Summit</t>
  </si>
  <si>
    <t>Charla Merja, Joel Sims and Heather Palermo to attend ACT Workforce Summit, Oct. 8-10, in New Orleans.
Several states across the nation have been successful in redesigning the way they look at and offer work force training.  Several have started using apprenticeship model training even in some of the nontraditional areas such as life insurance.  In almost every example it was revealed that state and local governments had to be involved and the curriculum had to be driven by industry which also needed to be supportive.  Having a “work ready” community is vital to economic development of the area.  Work Keys is a program developed by ACT to help determine if students are ready to go into the workforce and/or to college.
We need to determine how and who we can start conversations to get the right people involved to start making some of the changes in our area.</t>
  </si>
  <si>
    <t>Budget for Project #46</t>
  </si>
  <si>
    <t>Charla Merja, Joel Sims and Heather Palermo to attend ACT Workforce Summit, Oct. 8-10, in New Orleans. Lodging 3 people 3 nights @ $209, Airfare 3 @ 800, ground transportation 2 @ $25, Per diem 3 people 4 days @ $46, Baggage 3 people 2 flights 3@$25</t>
  </si>
  <si>
    <t>Charla Merja, Joel Sims and Heather Palermo to attend ACT Workforce Summit, Oct. 8-10, in New Orleans.
Registration 3 @ $500</t>
  </si>
  <si>
    <t>Association of Surgical Technicians subscription for training materials.</t>
  </si>
  <si>
    <t>Unable to attend</t>
  </si>
  <si>
    <t>Additional cables, adapters needed</t>
  </si>
  <si>
    <t>Moved from equipment due to actual cost</t>
  </si>
  <si>
    <t>Reallocated funds from other projects</t>
  </si>
  <si>
    <t xml:space="preserve">Reduced as one nursing faculty was unable to attend and second faculty had not been hired. </t>
  </si>
  <si>
    <t xml:space="preserve">(Offer a one-week exploration to trades for females ages 10 and up. Work with 10 young women to explore welding as a carrier option. Each student will get both some theory and hands on training for welding and operating some of the equipment during the course. Each student will be able to take home a small project they have completed. This concept could be expanded into other trades areas.)
This project is being amended to collaborate on a trades event being conducted by the college, area businesses, the Department of Labor, the Great Falls Development Authority and Great Falls Public Schools. Rather than a week-long event, there will be two events on Feb. 12, one in the morning and another in the evening to accommodate varying schedules. It will be an opportunity for women, ages 16 and older to learn about businesses and occupations that typically do not have a high number of female employees or that women don’t typically think of as a career.  Women can tour businesses and hear from women in various fields, such as welding,  Information Technology, engineering, plumbing &amp; heating, auto body, and much more. There will be time set aside for the participants to talk directly to businesses, and learn more about apprenticeships and job shadowing opportunities.  This event is important for our community because businesses in the skilled trades areas are in desperate need of employees. Also, women need to be exposed to these career paths from high school through college to help them determine if these jobs are right for them. During the event, wages, benefits, and barriers will be discussed, so the women can be well informed about these possibilities. With this event, we hope women become more interested in the skilled trades and employers can find qualified workers.   </t>
  </si>
  <si>
    <t xml:space="preserve">Since this is a true exploration effort, we will measure effectiveness by tracking the numbers of participants at the events as well as numbers of participants who interact with prospective employers and numbers of participants who interview for jobs or begin apprenticeships with any of the employers and career fields represented.   </t>
  </si>
  <si>
    <t>This event has been changed to use area business representatives, rather than instructors.</t>
  </si>
  <si>
    <t>Trades Exploration for Girls: Contract with marketing firm for event promotion ($1,000); contract with partner for participant tracking ($500); contract with bus company for four bus trips ($2,000)</t>
  </si>
  <si>
    <t>Trades Exploration for Girls. Supplies: metal sheets, wire, shielding gas, contact tips, personal protective equipment.</t>
  </si>
  <si>
    <t>The chrome books will be used for tests and quizzes in all of the surg tech classes.  Because I have started teaching a distance portion, I have loaded all tests to D2L so all of the students have access to the tests.  Having all the tests on D2L also better prepares our students for their national certification test.  This test is also computer based and students that have not taken a computer based test before often struggle with this.</t>
  </si>
  <si>
    <t xml:space="preserve"> This request is for Perkins funding to purchase a Photo Identification System (camera, printer, software and initial consumable supplies) to be used by both the Registered Nurse and Practical Nurse Programs</t>
  </si>
  <si>
    <t>The lab equipment requested is part of the course outcomes when learning how to perform the pscho motor aspect of applying traction, e-stim, and ultrasound.  The knowledge gained through the course will be transferred to practices at the level of the students in the Physical Therapist Assistant program.</t>
  </si>
  <si>
    <t>Amendment #4</t>
  </si>
  <si>
    <t>This event has been changed to use of area business representatives, rather than instructors.</t>
  </si>
  <si>
    <t>Project/Program/Purchase Summary Number 47</t>
  </si>
  <si>
    <t>Health Info Management meetings</t>
  </si>
  <si>
    <t xml:space="preserve">Health Information Management online faculty Kris Sher will attend the DCHIMA Quarterly Business Meeting on Friday, October 5th, 2018 at Prince George’s Community College.  
Kris Sher will attend the DCHIMA Annual Meeting in the Spring of 2019.  The date and location are both to be determined.
</t>
  </si>
  <si>
    <t>The course AHMS 298A – (Health Information Coding Specialist/Coding Professional Practice Experience) will be revised to include updates to all coding assignments for Weeks 4-9, 12 and 13.</t>
  </si>
  <si>
    <t>Health Information Management faculty to attend HIM meetings; registration for quarterly meeting $75; annual meeting $155</t>
  </si>
  <si>
    <t>Budget for Project #47</t>
  </si>
  <si>
    <t>Project/Program/Purchase Summary Number 48</t>
  </si>
  <si>
    <t>CIT faculty Chris Mee to attend 2018 NICE CONFERENCE AND EXPO, Miami, Florida, NOVEMBER 6 - 7, 2018 and CAE Symposium, Miami, Florida, NOVEMBER 8 - 9, 2018
This is an opportunity to continue to expand my skills and tools for the development of cyber security course material and curriculum from practitioners across the country which will align with NICE. Plans are underway in the development of a new Cyber Security AAS curriculum as well as an application process to become a Center of Academic Excellence in Cyber Defense (CAE CD 2YR).  I am extremely interested in seeing what other institutions are doing in the area of Cyber Security Education and networking with other colleges and gleaning valuable knowledge through workshops and mini seminars offered at this conference.</t>
  </si>
  <si>
    <t>implementation of least two technique and/or tools presented at the conference in the academic year following the conference.</t>
  </si>
  <si>
    <t xml:space="preserve">CIT faculty Chris Mee to attend 2018 NICE CONFERENCE AND EXPO, Miami, Florida, NOVEMBER 6 - 7, 2018 and CAE Symposium, Miami, Florida, NOVEMBER 8 - 9, 2018
This is an opportunity to continue to expand my skills and tools for the development of cyber security course material and curriculum from practitioners across the country which will align with NICE. Plans are underway in the development of a new Cyber Security AAS curriculum as well as an application process to become a Center of Academic Excellence in Cyber Defense (CAE CD 2YR).  </t>
  </si>
  <si>
    <t xml:space="preserve">CIT faculty Chris Mee to attend 2018 NICE CONFERENCE AND EXPO, Miami, Florida, NOVEMBER 6 - 7, 2018 and CAE Symposium, Miami, Florida, NOVEMBER 8 - 9, 2018
Airfare $1,035; Car rental $448; Lodging $1,282; Per diem $322. 
This is an opportunity to continue to expand my skills and tools for the development of cyber security course material and curriculum from practitioners across the country which will align with NICE. Plans are underway in the development of a new Cyber Security AAS curriculum as well as an application process to become a Center of Academic Excellence in Cyber Defense (CAE CD 2YR).  </t>
  </si>
  <si>
    <t xml:space="preserve">Actual costs. This proposal was inadvertantly left out of previous amendment requests. The omission was not discovered until travel was completed. </t>
  </si>
  <si>
    <t>Budget for Project #48</t>
  </si>
  <si>
    <t>Computer  Science con NICE&amp;CAE</t>
  </si>
  <si>
    <t>Actual  cost</t>
  </si>
  <si>
    <t>Warranty cost higher than anticipated. But equipment cost was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</si>
</sst>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3" fillId="0" borderId="0" applyFont="0" applyFill="0" applyBorder="0" applyAlignment="0" applyProtection="0"/>
  </cellStyleXfs>
  <cellXfs count="41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wrapText="1"/>
      <protection locked="0"/>
    </xf>
    <xf numFmtId="164" fontId="0" fillId="0" borderId="0" xfId="0" applyNumberFormat="1" applyAlignment="1">
      <alignment horizontal="center" wrapText="1"/>
    </xf>
    <xf numFmtId="4" fontId="0" fillId="0" borderId="0" xfId="0" applyNumberFormat="1" applyAlignment="1">
      <alignment horizontal="center" wrapText="1"/>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protection locked="0"/>
    </xf>
    <xf numFmtId="0" fontId="0" fillId="0" borderId="0" xfId="0" applyFill="1" applyProtection="1">
      <protection locked="0"/>
    </xf>
    <xf numFmtId="164" fontId="0" fillId="0" borderId="1" xfId="0" applyNumberFormat="1" applyFill="1" applyBorder="1" applyAlignment="1" applyProtection="1">
      <alignment horizontal="right"/>
      <protection locked="0"/>
    </xf>
    <xf numFmtId="0" fontId="0" fillId="0" borderId="2" xfId="0" applyFill="1" applyBorder="1" applyAlignment="1" applyProtection="1"/>
    <xf numFmtId="164" fontId="0" fillId="0" borderId="1" xfId="0" applyNumberFormat="1" applyFill="1" applyBorder="1" applyAlignment="1" applyProtection="1">
      <alignment horizontal="center" wrapText="1"/>
      <protection locked="0"/>
    </xf>
    <xf numFmtId="0" fontId="0" fillId="0"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2" fillId="0" borderId="0" xfId="0" applyFont="1" applyBorder="1" applyAlignment="1">
      <alignment horizontal="right"/>
    </xf>
    <xf numFmtId="0" fontId="0" fillId="0" borderId="1" xfId="0" applyFill="1" applyBorder="1" applyProtection="1">
      <protection locked="0"/>
    </xf>
    <xf numFmtId="0" fontId="0" fillId="0" borderId="1" xfId="0" applyFill="1" applyBorder="1" applyAlignment="1" applyProtection="1">
      <alignment horizontal="left"/>
      <protection locked="0"/>
    </xf>
    <xf numFmtId="164" fontId="0" fillId="0" borderId="0" xfId="0" applyNumberFormat="1" applyAlignment="1">
      <alignment horizontal="center"/>
    </xf>
    <xf numFmtId="0" fontId="0" fillId="0" borderId="28" xfId="0" applyFill="1" applyBorder="1" applyAlignment="1" applyProtection="1">
      <alignment horizontal="center"/>
      <protection locked="0"/>
    </xf>
    <xf numFmtId="0" fontId="0" fillId="0" borderId="28" xfId="0" applyFill="1" applyBorder="1" applyProtection="1">
      <protection locked="0"/>
    </xf>
    <xf numFmtId="0" fontId="0" fillId="0" borderId="1" xfId="0" applyBorder="1" applyProtection="1">
      <protection locked="0"/>
    </xf>
    <xf numFmtId="0" fontId="0" fillId="0" borderId="1" xfId="0" applyFill="1" applyBorder="1" applyAlignment="1" applyProtection="1">
      <alignment horizontal="center" wrapText="1"/>
      <protection locked="0"/>
    </xf>
    <xf numFmtId="164" fontId="0" fillId="0" borderId="2" xfId="0" applyNumberFormat="1" applyFill="1" applyBorder="1" applyAlignment="1" applyProtection="1">
      <alignment horizontal="right"/>
      <protection locked="0"/>
    </xf>
    <xf numFmtId="0" fontId="0" fillId="0" borderId="1" xfId="0" applyFill="1" applyBorder="1" applyAlignment="1" applyProtection="1">
      <protection locked="0"/>
    </xf>
    <xf numFmtId="44" fontId="0" fillId="0" borderId="0" xfId="5" applyFont="1" applyFill="1" applyProtection="1">
      <protection locked="0"/>
    </xf>
    <xf numFmtId="164" fontId="0" fillId="0" borderId="0" xfId="0" applyNumberFormat="1" applyFont="1" applyFill="1" applyBorder="1" applyAlignment="1" applyProtection="1">
      <alignment wrapText="1"/>
      <protection locked="0"/>
    </xf>
    <xf numFmtId="0" fontId="0" fillId="0" borderId="1" xfId="0" applyFont="1" applyFill="1" applyBorder="1" applyAlignment="1" applyProtection="1">
      <alignment horizontal="center" wrapText="1"/>
      <protection locked="0"/>
    </xf>
    <xf numFmtId="164" fontId="2" fillId="0" borderId="0" xfId="0" applyNumberFormat="1" applyFont="1" applyAlignment="1">
      <alignment horizontal="center" wrapText="1"/>
    </xf>
    <xf numFmtId="0" fontId="0" fillId="0" borderId="2" xfId="0" applyBorder="1" applyAlignment="1" applyProtection="1">
      <alignment horizontal="center" wrapText="1"/>
      <protection locked="0"/>
    </xf>
    <xf numFmtId="0" fontId="0" fillId="0" borderId="1" xfId="0" applyFill="1" applyBorder="1" applyAlignment="1" applyProtection="1">
      <alignment horizontal="center" wrapText="1"/>
      <protection locked="0"/>
    </xf>
    <xf numFmtId="0" fontId="0" fillId="0" borderId="2" xfId="0" applyBorder="1" applyAlignment="1">
      <alignment horizontal="center" wrapText="1"/>
    </xf>
    <xf numFmtId="0" fontId="0" fillId="0" borderId="1"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Fill="1" applyBorder="1" applyAlignment="1" applyProtection="1">
      <alignment horizontal="center" wrapText="1"/>
      <protection locked="0"/>
    </xf>
    <xf numFmtId="0" fontId="0" fillId="11" borderId="1" xfId="0" applyFill="1" applyBorder="1" applyProtection="1">
      <protection locked="0"/>
    </xf>
    <xf numFmtId="0" fontId="0" fillId="11" borderId="1" xfId="0" applyFill="1" applyBorder="1" applyAlignment="1" applyProtection="1">
      <alignment wrapText="1"/>
      <protection locked="0"/>
    </xf>
    <xf numFmtId="164" fontId="0" fillId="11" borderId="1" xfId="0" applyNumberFormat="1" applyFill="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8" xfId="0" applyFill="1" applyBorder="1" applyAlignment="1" applyProtection="1">
      <alignment horizontal="center" wrapText="1"/>
      <protection locked="0"/>
    </xf>
    <xf numFmtId="0" fontId="0" fillId="0" borderId="1" xfId="0" applyFill="1" applyBorder="1" applyAlignment="1" applyProtection="1">
      <alignment horizontal="center" wrapText="1"/>
      <protection locked="0"/>
    </xf>
    <xf numFmtId="0" fontId="10" fillId="5" borderId="22" xfId="0" applyFont="1" applyFill="1" applyBorder="1" applyAlignment="1">
      <alignment horizontal="center"/>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2" xfId="4"/>
    <cellStyle name="Currency" xfId="5" builtin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ceane.weldele@gfcmsu.edu" TargetMode="External"/><Relationship Id="rId2" Type="http://schemas.openxmlformats.org/officeDocument/2006/relationships/hyperlink" Target="mailto:jpullum@gfcmsu.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hpasek@gfcmsu.edu" TargetMode="External"/><Relationship Id="rId4" Type="http://schemas.openxmlformats.org/officeDocument/2006/relationships/hyperlink" Target="mailto:shannon.marr1@gfcms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K15" sqref="K15"/>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229</v>
      </c>
      <c r="B1" s="48"/>
      <c r="C1" s="48"/>
    </row>
    <row r="3" spans="1:8" x14ac:dyDescent="0.25">
      <c r="A3" s="310" t="s">
        <v>48</v>
      </c>
      <c r="B3" s="310"/>
      <c r="C3" s="310"/>
      <c r="D3" s="310"/>
      <c r="E3" s="310"/>
      <c r="F3" s="310"/>
      <c r="G3" s="310"/>
      <c r="H3" s="310"/>
    </row>
    <row r="5" spans="1:8" x14ac:dyDescent="0.25">
      <c r="A5" s="310" t="s">
        <v>49</v>
      </c>
      <c r="B5" s="310"/>
      <c r="C5" s="310"/>
      <c r="D5" s="310"/>
    </row>
    <row r="6" spans="1:8" x14ac:dyDescent="0.25">
      <c r="A6" s="310" t="s">
        <v>230</v>
      </c>
      <c r="B6" s="310"/>
      <c r="C6" s="310"/>
    </row>
    <row r="7" spans="1:8" x14ac:dyDescent="0.25">
      <c r="A7" s="310" t="s">
        <v>50</v>
      </c>
      <c r="B7" s="310"/>
      <c r="C7" s="310"/>
    </row>
    <row r="9" spans="1:8" x14ac:dyDescent="0.25">
      <c r="A9" s="310" t="s">
        <v>231</v>
      </c>
      <c r="B9" s="310"/>
      <c r="C9" s="310"/>
      <c r="D9" s="310"/>
    </row>
    <row r="11" spans="1:8" ht="15.75" thickBot="1" x14ac:dyDescent="0.3"/>
    <row r="12" spans="1:8" ht="15.75" thickBot="1" x14ac:dyDescent="0.3">
      <c r="A12" s="17" t="s">
        <v>69</v>
      </c>
      <c r="B12" s="305" t="s">
        <v>238</v>
      </c>
      <c r="C12" s="306"/>
      <c r="D12" s="306"/>
      <c r="E12" s="307"/>
      <c r="G12" s="1" t="s">
        <v>70</v>
      </c>
      <c r="H12" s="21" t="s">
        <v>221</v>
      </c>
    </row>
    <row r="15" spans="1:8" ht="15.75" x14ac:dyDescent="0.25">
      <c r="A15" s="308" t="s">
        <v>51</v>
      </c>
      <c r="B15" s="308"/>
      <c r="C15" s="308"/>
      <c r="D15" s="308"/>
      <c r="E15" s="308"/>
    </row>
    <row r="16" spans="1:8" ht="15.75" thickBot="1" x14ac:dyDescent="0.3"/>
    <row r="17" spans="1:17" ht="15.75" thickBot="1" x14ac:dyDescent="0.3">
      <c r="A17" s="1" t="s">
        <v>52</v>
      </c>
      <c r="B17" s="302" t="s">
        <v>447</v>
      </c>
      <c r="C17" s="303"/>
      <c r="D17" s="303"/>
      <c r="E17" s="303"/>
      <c r="F17" s="303"/>
      <c r="G17" s="303"/>
      <c r="H17" s="303"/>
      <c r="I17" s="304"/>
      <c r="K17" s="1" t="s">
        <v>53</v>
      </c>
      <c r="L17" s="302" t="s">
        <v>448</v>
      </c>
      <c r="M17" s="303"/>
      <c r="N17" s="303"/>
      <c r="O17" s="303"/>
      <c r="P17" s="303"/>
      <c r="Q17" s="304"/>
    </row>
    <row r="18" spans="1:17" ht="15.75" thickBot="1" x14ac:dyDescent="0.3"/>
    <row r="19" spans="1:17" x14ac:dyDescent="0.25">
      <c r="A19" s="1" t="s">
        <v>54</v>
      </c>
      <c r="B19" s="311" t="s">
        <v>239</v>
      </c>
      <c r="C19" s="312"/>
      <c r="D19" s="312"/>
      <c r="E19" s="312"/>
      <c r="F19" s="312"/>
      <c r="G19" s="312"/>
      <c r="H19" s="312"/>
      <c r="I19" s="313"/>
    </row>
    <row r="20" spans="1:17" ht="15.75" thickBot="1" x14ac:dyDescent="0.3">
      <c r="B20" s="314"/>
      <c r="C20" s="315"/>
      <c r="D20" s="315"/>
      <c r="E20" s="315"/>
      <c r="F20" s="315"/>
      <c r="G20" s="315"/>
      <c r="H20" s="315"/>
      <c r="I20" s="316"/>
    </row>
    <row r="21" spans="1:17" ht="15.75" thickBot="1" x14ac:dyDescent="0.3"/>
    <row r="22" spans="1:17" ht="15.75" thickBot="1" x14ac:dyDescent="0.3">
      <c r="A22" s="1" t="s">
        <v>55</v>
      </c>
      <c r="B22" s="302" t="s">
        <v>240</v>
      </c>
      <c r="C22" s="303"/>
      <c r="D22" s="303"/>
      <c r="E22" s="303"/>
      <c r="F22" s="303"/>
      <c r="G22" s="303"/>
      <c r="H22" s="303"/>
      <c r="I22" s="304"/>
      <c r="K22" s="1" t="s">
        <v>56</v>
      </c>
      <c r="L22" s="302" t="s">
        <v>241</v>
      </c>
      <c r="M22" s="304"/>
      <c r="N22" s="19"/>
      <c r="O22" s="20" t="s">
        <v>57</v>
      </c>
      <c r="P22" s="302">
        <v>59401</v>
      </c>
      <c r="Q22" s="304"/>
    </row>
    <row r="23" spans="1:17" ht="15.75" thickBot="1" x14ac:dyDescent="0.3"/>
    <row r="24" spans="1:17" ht="15.75" thickBot="1" x14ac:dyDescent="0.3">
      <c r="A24" s="1" t="s">
        <v>58</v>
      </c>
      <c r="B24" s="302" t="s">
        <v>449</v>
      </c>
      <c r="C24" s="304"/>
      <c r="D24" s="22" t="s">
        <v>62</v>
      </c>
      <c r="E24" s="21"/>
      <c r="G24" s="1" t="s">
        <v>59</v>
      </c>
      <c r="H24" s="302" t="s">
        <v>242</v>
      </c>
      <c r="I24" s="304"/>
      <c r="K24" s="1" t="s">
        <v>60</v>
      </c>
      <c r="L24" s="309" t="s">
        <v>255</v>
      </c>
      <c r="M24" s="303"/>
      <c r="N24" s="304"/>
    </row>
    <row r="28" spans="1:17" ht="15.75" x14ac:dyDescent="0.25">
      <c r="A28" s="308" t="s">
        <v>61</v>
      </c>
      <c r="B28" s="308"/>
    </row>
    <row r="29" spans="1:17" ht="15.75" thickBot="1" x14ac:dyDescent="0.3"/>
    <row r="30" spans="1:17" ht="15.75" thickBot="1" x14ac:dyDescent="0.3">
      <c r="A30" s="1" t="s">
        <v>52</v>
      </c>
      <c r="B30" s="302" t="s">
        <v>243</v>
      </c>
      <c r="C30" s="303"/>
      <c r="D30" s="303"/>
      <c r="E30" s="303"/>
      <c r="F30" s="303"/>
      <c r="G30" s="303"/>
      <c r="H30" s="303"/>
      <c r="I30" s="304"/>
      <c r="K30" s="1" t="s">
        <v>53</v>
      </c>
      <c r="L30" s="302" t="s">
        <v>244</v>
      </c>
      <c r="M30" s="303"/>
      <c r="N30" s="303"/>
      <c r="O30" s="303"/>
      <c r="P30" s="303"/>
      <c r="Q30" s="304"/>
    </row>
    <row r="31" spans="1:17" ht="15.75" thickBot="1" x14ac:dyDescent="0.3"/>
    <row r="32" spans="1:17" ht="15.75" thickBot="1" x14ac:dyDescent="0.3">
      <c r="A32" s="1" t="s">
        <v>58</v>
      </c>
      <c r="B32" s="302" t="s">
        <v>246</v>
      </c>
      <c r="C32" s="304"/>
      <c r="D32" s="22" t="s">
        <v>62</v>
      </c>
      <c r="E32" s="21"/>
      <c r="G32" s="1" t="s">
        <v>59</v>
      </c>
      <c r="H32" s="302" t="s">
        <v>242</v>
      </c>
      <c r="I32" s="304"/>
      <c r="K32" s="1" t="s">
        <v>60</v>
      </c>
      <c r="L32" s="309" t="s">
        <v>245</v>
      </c>
      <c r="M32" s="303"/>
      <c r="N32" s="304"/>
    </row>
    <row r="36" spans="1:17" ht="15.75" x14ac:dyDescent="0.25">
      <c r="A36" s="29" t="s">
        <v>237</v>
      </c>
      <c r="B36" s="29"/>
      <c r="C36" s="29"/>
      <c r="D36" s="29"/>
    </row>
    <row r="37" spans="1:17" ht="15.75" thickBot="1" x14ac:dyDescent="0.3"/>
    <row r="38" spans="1:17" ht="15.75" thickBot="1" x14ac:dyDescent="0.3">
      <c r="A38" s="1" t="s">
        <v>52</v>
      </c>
      <c r="B38" s="302" t="s">
        <v>247</v>
      </c>
      <c r="C38" s="303"/>
      <c r="D38" s="303"/>
      <c r="E38" s="303"/>
      <c r="F38" s="303"/>
      <c r="G38" s="303"/>
      <c r="H38" s="303"/>
      <c r="I38" s="304"/>
      <c r="K38" s="1" t="s">
        <v>53</v>
      </c>
      <c r="L38" s="302" t="s">
        <v>248</v>
      </c>
      <c r="M38" s="303"/>
      <c r="N38" s="303"/>
      <c r="O38" s="303"/>
      <c r="P38" s="303"/>
      <c r="Q38" s="304"/>
    </row>
    <row r="39" spans="1:17" ht="15.75" thickBot="1" x14ac:dyDescent="0.3"/>
    <row r="40" spans="1:17" ht="15.75" thickBot="1" x14ac:dyDescent="0.3">
      <c r="A40" s="1" t="s">
        <v>58</v>
      </c>
      <c r="B40" s="302" t="s">
        <v>251</v>
      </c>
      <c r="C40" s="304"/>
      <c r="D40" s="22" t="s">
        <v>62</v>
      </c>
      <c r="E40" s="21"/>
      <c r="G40" s="1" t="s">
        <v>59</v>
      </c>
      <c r="H40" s="302" t="s">
        <v>250</v>
      </c>
      <c r="I40" s="304"/>
      <c r="K40" s="1" t="s">
        <v>60</v>
      </c>
      <c r="L40" s="309" t="s">
        <v>249</v>
      </c>
      <c r="M40" s="303"/>
      <c r="N40" s="304"/>
    </row>
    <row r="44" spans="1:17" ht="15.75" x14ac:dyDescent="0.25">
      <c r="A44" s="308" t="s">
        <v>144</v>
      </c>
      <c r="B44" s="308"/>
      <c r="C44" s="308"/>
      <c r="D44" s="308"/>
      <c r="E44" s="308"/>
      <c r="F44" s="308"/>
    </row>
    <row r="46" spans="1:17" x14ac:dyDescent="0.25">
      <c r="A46" s="310" t="s">
        <v>143</v>
      </c>
      <c r="B46" s="310"/>
      <c r="C46" s="310"/>
      <c r="D46" s="310"/>
      <c r="E46" s="310"/>
      <c r="F46" s="310"/>
      <c r="G46" s="310"/>
      <c r="H46" s="310"/>
      <c r="I46" s="310"/>
      <c r="J46" s="310"/>
      <c r="K46" s="310"/>
      <c r="L46" s="310"/>
    </row>
    <row r="47" spans="1:17" x14ac:dyDescent="0.25">
      <c r="A47" s="164"/>
      <c r="C47" s="164"/>
      <c r="D47" s="164"/>
      <c r="E47" s="164"/>
      <c r="F47" s="164"/>
      <c r="G47" s="164"/>
      <c r="H47" s="164"/>
    </row>
    <row r="48" spans="1:17" ht="15.75" thickBot="1" x14ac:dyDescent="0.3">
      <c r="B48" s="1" t="s">
        <v>140</v>
      </c>
      <c r="C48" s="18"/>
      <c r="D48" s="18"/>
      <c r="F48" s="1" t="s">
        <v>141</v>
      </c>
      <c r="J48" s="1" t="s">
        <v>142</v>
      </c>
    </row>
    <row r="49" spans="1:13" ht="15.75" thickBot="1" x14ac:dyDescent="0.3">
      <c r="A49" s="3">
        <v>1</v>
      </c>
      <c r="B49" s="302" t="s">
        <v>252</v>
      </c>
      <c r="C49" s="303"/>
      <c r="D49" s="304"/>
      <c r="F49" s="302" t="s">
        <v>253</v>
      </c>
      <c r="G49" s="303"/>
      <c r="H49" s="304"/>
      <c r="J49" s="309" t="s">
        <v>254</v>
      </c>
      <c r="K49" s="303"/>
      <c r="L49" s="303"/>
      <c r="M49" s="304"/>
    </row>
    <row r="50" spans="1:13" ht="15.75" thickBot="1" x14ac:dyDescent="0.3">
      <c r="A50" s="3">
        <v>2</v>
      </c>
      <c r="B50" s="302"/>
      <c r="C50" s="303"/>
      <c r="D50" s="304"/>
      <c r="F50" s="302"/>
      <c r="G50" s="303"/>
      <c r="H50" s="304"/>
      <c r="J50" s="309"/>
      <c r="K50" s="303"/>
      <c r="L50" s="303"/>
      <c r="M50" s="304"/>
    </row>
    <row r="51" spans="1:13" ht="15.75" thickBot="1" x14ac:dyDescent="0.3">
      <c r="A51" s="3">
        <v>3</v>
      </c>
      <c r="B51" s="302"/>
      <c r="C51" s="303"/>
      <c r="D51" s="304"/>
      <c r="F51" s="302"/>
      <c r="G51" s="303"/>
      <c r="H51" s="304"/>
      <c r="J51" s="302"/>
      <c r="K51" s="303"/>
      <c r="L51" s="303"/>
      <c r="M51" s="304"/>
    </row>
    <row r="52" spans="1:13" ht="15.75" thickBot="1" x14ac:dyDescent="0.3">
      <c r="A52" s="3">
        <v>4</v>
      </c>
      <c r="B52" s="302"/>
      <c r="C52" s="303"/>
      <c r="D52" s="304"/>
      <c r="F52" s="302"/>
      <c r="G52" s="303"/>
      <c r="H52" s="304"/>
      <c r="J52" s="302"/>
      <c r="K52" s="303"/>
      <c r="L52" s="303"/>
      <c r="M52" s="304"/>
    </row>
    <row r="53" spans="1:13" ht="15.75" thickBot="1" x14ac:dyDescent="0.3">
      <c r="A53" s="3">
        <v>5</v>
      </c>
      <c r="B53" s="302"/>
      <c r="C53" s="303"/>
      <c r="D53" s="304"/>
      <c r="F53" s="302"/>
      <c r="G53" s="303"/>
      <c r="H53" s="304"/>
      <c r="J53" s="302"/>
      <c r="K53" s="303"/>
      <c r="L53" s="303"/>
      <c r="M53" s="304"/>
    </row>
    <row r="54" spans="1:13" ht="15.75" thickBot="1" x14ac:dyDescent="0.3">
      <c r="A54" s="3">
        <v>6</v>
      </c>
      <c r="B54" s="302"/>
      <c r="C54" s="303"/>
      <c r="D54" s="304"/>
      <c r="F54" s="302"/>
      <c r="G54" s="303"/>
      <c r="H54" s="304"/>
      <c r="J54" s="302"/>
      <c r="K54" s="303"/>
      <c r="L54" s="303"/>
      <c r="M54" s="304"/>
    </row>
    <row r="55" spans="1:13" ht="15.75" thickBot="1" x14ac:dyDescent="0.3">
      <c r="A55" s="3">
        <v>7</v>
      </c>
      <c r="B55" s="302"/>
      <c r="C55" s="303"/>
      <c r="D55" s="304"/>
      <c r="F55" s="302"/>
      <c r="G55" s="303"/>
      <c r="H55" s="304"/>
      <c r="J55" s="302"/>
      <c r="K55" s="303"/>
      <c r="L55" s="303"/>
      <c r="M55" s="304"/>
    </row>
    <row r="56" spans="1:13" ht="15.75" thickBot="1" x14ac:dyDescent="0.3">
      <c r="A56" s="3">
        <v>8</v>
      </c>
      <c r="B56" s="302"/>
      <c r="C56" s="303"/>
      <c r="D56" s="304"/>
      <c r="F56" s="302"/>
      <c r="G56" s="303"/>
      <c r="H56" s="304"/>
      <c r="J56" s="302"/>
      <c r="K56" s="303"/>
      <c r="L56" s="303"/>
      <c r="M56" s="304"/>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L40" r:id="rId4"/>
    <hyperlink ref="J49"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564"/>
  <sheetViews>
    <sheetView topLeftCell="A1544" zoomScale="80" zoomScaleNormal="80" workbookViewId="0">
      <selection activeCell="A1536" sqref="A1536:Y1549"/>
    </sheetView>
  </sheetViews>
  <sheetFormatPr defaultRowHeight="15" x14ac:dyDescent="0.25"/>
  <cols>
    <col min="9" max="9" width="11.42578125" customWidth="1"/>
  </cols>
  <sheetData>
    <row r="2" spans="1:25" ht="19.5" thickBot="1" x14ac:dyDescent="0.35">
      <c r="A2" s="332" t="s">
        <v>71</v>
      </c>
      <c r="B2" s="332"/>
      <c r="C2" s="332"/>
      <c r="D2" s="332"/>
      <c r="E2" s="332"/>
      <c r="F2" s="332"/>
      <c r="H2" s="332" t="s">
        <v>257</v>
      </c>
      <c r="I2" s="332"/>
      <c r="J2" s="332"/>
    </row>
    <row r="3" spans="1:25" x14ac:dyDescent="0.25">
      <c r="A3" s="317" t="s">
        <v>256</v>
      </c>
      <c r="B3" s="318"/>
      <c r="C3" s="318"/>
      <c r="D3" s="318"/>
      <c r="E3" s="318"/>
      <c r="F3" s="318"/>
      <c r="G3" s="318"/>
      <c r="H3" s="318"/>
      <c r="I3" s="318"/>
      <c r="J3" s="318"/>
      <c r="K3" s="318"/>
      <c r="L3" s="318"/>
      <c r="M3" s="318"/>
      <c r="N3" s="318"/>
      <c r="O3" s="318"/>
      <c r="P3" s="318"/>
      <c r="Q3" s="318"/>
      <c r="R3" s="318"/>
      <c r="S3" s="318"/>
      <c r="T3" s="318"/>
      <c r="U3" s="318"/>
      <c r="V3" s="318"/>
      <c r="W3" s="318"/>
      <c r="X3" s="318"/>
      <c r="Y3" s="319"/>
    </row>
    <row r="4" spans="1:25" x14ac:dyDescent="0.25">
      <c r="A4" s="320"/>
      <c r="B4" s="321"/>
      <c r="C4" s="321"/>
      <c r="D4" s="321"/>
      <c r="E4" s="321"/>
      <c r="F4" s="321"/>
      <c r="G4" s="321"/>
      <c r="H4" s="321"/>
      <c r="I4" s="321"/>
      <c r="J4" s="321"/>
      <c r="K4" s="321"/>
      <c r="L4" s="321"/>
      <c r="M4" s="321"/>
      <c r="N4" s="321"/>
      <c r="O4" s="321"/>
      <c r="P4" s="321"/>
      <c r="Q4" s="321"/>
      <c r="R4" s="321"/>
      <c r="S4" s="321"/>
      <c r="T4" s="321"/>
      <c r="U4" s="321"/>
      <c r="V4" s="321"/>
      <c r="W4" s="321"/>
      <c r="X4" s="321"/>
      <c r="Y4" s="322"/>
    </row>
    <row r="5" spans="1:25" x14ac:dyDescent="0.25">
      <c r="A5" s="320"/>
      <c r="B5" s="321"/>
      <c r="C5" s="321"/>
      <c r="D5" s="321"/>
      <c r="E5" s="321"/>
      <c r="F5" s="321"/>
      <c r="G5" s="321"/>
      <c r="H5" s="321"/>
      <c r="I5" s="321"/>
      <c r="J5" s="321"/>
      <c r="K5" s="321"/>
      <c r="L5" s="321"/>
      <c r="M5" s="321"/>
      <c r="N5" s="321"/>
      <c r="O5" s="321"/>
      <c r="P5" s="321"/>
      <c r="Q5" s="321"/>
      <c r="R5" s="321"/>
      <c r="S5" s="321"/>
      <c r="T5" s="321"/>
      <c r="U5" s="321"/>
      <c r="V5" s="321"/>
      <c r="W5" s="321"/>
      <c r="X5" s="321"/>
      <c r="Y5" s="322"/>
    </row>
    <row r="6" spans="1:25" x14ac:dyDescent="0.25">
      <c r="A6" s="320"/>
      <c r="B6" s="321"/>
      <c r="C6" s="321"/>
      <c r="D6" s="321"/>
      <c r="E6" s="321"/>
      <c r="F6" s="321"/>
      <c r="G6" s="321"/>
      <c r="H6" s="321"/>
      <c r="I6" s="321"/>
      <c r="J6" s="321"/>
      <c r="K6" s="321"/>
      <c r="L6" s="321"/>
      <c r="M6" s="321"/>
      <c r="N6" s="321"/>
      <c r="O6" s="321"/>
      <c r="P6" s="321"/>
      <c r="Q6" s="321"/>
      <c r="R6" s="321"/>
      <c r="S6" s="321"/>
      <c r="T6" s="321"/>
      <c r="U6" s="321"/>
      <c r="V6" s="321"/>
      <c r="W6" s="321"/>
      <c r="X6" s="321"/>
      <c r="Y6" s="322"/>
    </row>
    <row r="7" spans="1:25" x14ac:dyDescent="0.25">
      <c r="A7" s="320"/>
      <c r="B7" s="321"/>
      <c r="C7" s="321"/>
      <c r="D7" s="321"/>
      <c r="E7" s="321"/>
      <c r="F7" s="321"/>
      <c r="G7" s="321"/>
      <c r="H7" s="321"/>
      <c r="I7" s="321"/>
      <c r="J7" s="321"/>
      <c r="K7" s="321"/>
      <c r="L7" s="321"/>
      <c r="M7" s="321"/>
      <c r="N7" s="321"/>
      <c r="O7" s="321"/>
      <c r="P7" s="321"/>
      <c r="Q7" s="321"/>
      <c r="R7" s="321"/>
      <c r="S7" s="321"/>
      <c r="T7" s="321"/>
      <c r="U7" s="321"/>
      <c r="V7" s="321"/>
      <c r="W7" s="321"/>
      <c r="X7" s="321"/>
      <c r="Y7" s="322"/>
    </row>
    <row r="8" spans="1:25" x14ac:dyDescent="0.25">
      <c r="A8" s="320"/>
      <c r="B8" s="321"/>
      <c r="C8" s="321"/>
      <c r="D8" s="321"/>
      <c r="E8" s="321"/>
      <c r="F8" s="321"/>
      <c r="G8" s="321"/>
      <c r="H8" s="321"/>
      <c r="I8" s="321"/>
      <c r="J8" s="321"/>
      <c r="K8" s="321"/>
      <c r="L8" s="321"/>
      <c r="M8" s="321"/>
      <c r="N8" s="321"/>
      <c r="O8" s="321"/>
      <c r="P8" s="321"/>
      <c r="Q8" s="321"/>
      <c r="R8" s="321"/>
      <c r="S8" s="321"/>
      <c r="T8" s="321"/>
      <c r="U8" s="321"/>
      <c r="V8" s="321"/>
      <c r="W8" s="321"/>
      <c r="X8" s="321"/>
      <c r="Y8" s="322"/>
    </row>
    <row r="9" spans="1:25" x14ac:dyDescent="0.25">
      <c r="A9" s="320"/>
      <c r="B9" s="321"/>
      <c r="C9" s="321"/>
      <c r="D9" s="321"/>
      <c r="E9" s="321"/>
      <c r="F9" s="321"/>
      <c r="G9" s="321"/>
      <c r="H9" s="321"/>
      <c r="I9" s="321"/>
      <c r="J9" s="321"/>
      <c r="K9" s="321"/>
      <c r="L9" s="321"/>
      <c r="M9" s="321"/>
      <c r="N9" s="321"/>
      <c r="O9" s="321"/>
      <c r="P9" s="321"/>
      <c r="Q9" s="321"/>
      <c r="R9" s="321"/>
      <c r="S9" s="321"/>
      <c r="T9" s="321"/>
      <c r="U9" s="321"/>
      <c r="V9" s="321"/>
      <c r="W9" s="321"/>
      <c r="X9" s="321"/>
      <c r="Y9" s="322"/>
    </row>
    <row r="10" spans="1:25" x14ac:dyDescent="0.25">
      <c r="A10" s="320"/>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2"/>
    </row>
    <row r="11" spans="1:25" x14ac:dyDescent="0.25">
      <c r="A11" s="320"/>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2"/>
    </row>
    <row r="12" spans="1:25" x14ac:dyDescent="0.25">
      <c r="A12" s="320"/>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2"/>
    </row>
    <row r="13" spans="1:25" x14ac:dyDescent="0.25">
      <c r="A13" s="320"/>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2"/>
    </row>
    <row r="14" spans="1:25" x14ac:dyDescent="0.25">
      <c r="A14" s="320"/>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2"/>
    </row>
    <row r="15" spans="1:25" x14ac:dyDescent="0.25">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2"/>
    </row>
    <row r="16" spans="1:25" ht="15.75" thickBot="1" x14ac:dyDescent="0.3">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5"/>
    </row>
    <row r="18" spans="1:25" ht="15.75" thickBot="1" x14ac:dyDescent="0.3">
      <c r="A18" s="326" t="s">
        <v>29</v>
      </c>
      <c r="B18" s="326"/>
      <c r="C18" s="326"/>
      <c r="D18" s="326"/>
    </row>
    <row r="19" spans="1:25" x14ac:dyDescent="0.25">
      <c r="A19" s="317" t="s">
        <v>258</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9"/>
    </row>
    <row r="20" spans="1:25" x14ac:dyDescent="0.25">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2"/>
    </row>
    <row r="21" spans="1:25" x14ac:dyDescent="0.25">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2"/>
    </row>
    <row r="22" spans="1:25" x14ac:dyDescent="0.25">
      <c r="A22" s="320"/>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2"/>
    </row>
    <row r="23" spans="1:25" x14ac:dyDescent="0.25">
      <c r="A23" s="320"/>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2"/>
    </row>
    <row r="24" spans="1:25" x14ac:dyDescent="0.25">
      <c r="A24" s="320"/>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2"/>
    </row>
    <row r="25" spans="1:25" ht="18" customHeight="1" thickBot="1" x14ac:dyDescent="0.3">
      <c r="A25" s="323"/>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5"/>
    </row>
    <row r="27" spans="1:25" ht="15.75" thickBot="1" x14ac:dyDescent="0.3">
      <c r="A27" s="326" t="s">
        <v>27</v>
      </c>
      <c r="B27" s="326"/>
      <c r="C27" s="326"/>
      <c r="D27" s="326"/>
      <c r="E27" s="326"/>
      <c r="F27" s="326"/>
      <c r="G27" s="326"/>
      <c r="H27" s="326"/>
    </row>
    <row r="28" spans="1:25" ht="15.75" thickBot="1" x14ac:dyDescent="0.3">
      <c r="A28" s="327" t="s">
        <v>435</v>
      </c>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9"/>
    </row>
    <row r="30" spans="1:25" ht="15.75" thickBot="1" x14ac:dyDescent="0.3">
      <c r="A30" s="326" t="s">
        <v>121</v>
      </c>
      <c r="B30" s="326"/>
      <c r="C30" s="326"/>
      <c r="E30" s="326" t="s">
        <v>122</v>
      </c>
      <c r="F30" s="326"/>
      <c r="G30" s="326"/>
    </row>
    <row r="31" spans="1:25" ht="15.75" thickBot="1" x14ac:dyDescent="0.3">
      <c r="A31" s="330" t="s">
        <v>63</v>
      </c>
      <c r="B31" s="331"/>
      <c r="E31" s="330" t="s">
        <v>66</v>
      </c>
      <c r="F31" s="331"/>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332" t="s">
        <v>72</v>
      </c>
      <c r="B35" s="332"/>
      <c r="C35" s="332"/>
      <c r="D35" s="332"/>
      <c r="E35" s="332"/>
      <c r="F35" s="332"/>
      <c r="H35" s="332" t="s">
        <v>260</v>
      </c>
      <c r="I35" s="332"/>
      <c r="J35" s="332"/>
    </row>
    <row r="36" spans="1:25" x14ac:dyDescent="0.25">
      <c r="A36" s="317" t="s">
        <v>259</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9"/>
    </row>
    <row r="37" spans="1:25" x14ac:dyDescent="0.25">
      <c r="A37" s="320"/>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2"/>
    </row>
    <row r="38" spans="1:25" x14ac:dyDescent="0.25">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2"/>
    </row>
    <row r="39" spans="1:25" x14ac:dyDescent="0.25">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2"/>
    </row>
    <row r="40" spans="1:25" x14ac:dyDescent="0.25">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2"/>
    </row>
    <row r="41" spans="1:25" x14ac:dyDescent="0.25">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2"/>
    </row>
    <row r="42" spans="1:25" x14ac:dyDescent="0.25">
      <c r="A42" s="320"/>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2"/>
    </row>
    <row r="43" spans="1:25" x14ac:dyDescent="0.25">
      <c r="A43" s="320"/>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2"/>
    </row>
    <row r="44" spans="1:25" x14ac:dyDescent="0.25">
      <c r="A44" s="320"/>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2"/>
    </row>
    <row r="45" spans="1:25" x14ac:dyDescent="0.25">
      <c r="A45" s="320"/>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2"/>
    </row>
    <row r="46" spans="1:25" x14ac:dyDescent="0.25">
      <c r="A46" s="320"/>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2"/>
    </row>
    <row r="47" spans="1:25" x14ac:dyDescent="0.25">
      <c r="A47" s="320"/>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2"/>
    </row>
    <row r="48" spans="1:25" x14ac:dyDescent="0.25">
      <c r="A48" s="320"/>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2"/>
    </row>
    <row r="49" spans="1:25" ht="15.75" thickBot="1" x14ac:dyDescent="0.3">
      <c r="A49" s="323"/>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5"/>
    </row>
    <row r="51" spans="1:25" ht="15.75" thickBot="1" x14ac:dyDescent="0.3">
      <c r="A51" s="326" t="s">
        <v>29</v>
      </c>
      <c r="B51" s="326"/>
      <c r="C51" s="326"/>
      <c r="D51" s="326"/>
    </row>
    <row r="52" spans="1:25" x14ac:dyDescent="0.25">
      <c r="A52" s="317" t="s">
        <v>316</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9"/>
    </row>
    <row r="53" spans="1:25" x14ac:dyDescent="0.25">
      <c r="A53" s="320"/>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2"/>
    </row>
    <row r="54" spans="1:25" x14ac:dyDescent="0.25">
      <c r="A54" s="320"/>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2"/>
    </row>
    <row r="55" spans="1:25" x14ac:dyDescent="0.25">
      <c r="A55" s="320"/>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2"/>
    </row>
    <row r="56" spans="1:25" x14ac:dyDescent="0.25">
      <c r="A56" s="320"/>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2"/>
    </row>
    <row r="57" spans="1:25" x14ac:dyDescent="0.25">
      <c r="A57" s="320"/>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2"/>
    </row>
    <row r="58" spans="1:25" ht="15.75" thickBot="1" x14ac:dyDescent="0.3">
      <c r="A58" s="323"/>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5"/>
    </row>
    <row r="60" spans="1:25" ht="15.75" thickBot="1" x14ac:dyDescent="0.3">
      <c r="A60" s="326" t="s">
        <v>27</v>
      </c>
      <c r="B60" s="326"/>
      <c r="C60" s="326"/>
      <c r="D60" s="326"/>
      <c r="E60" s="326"/>
      <c r="F60" s="326"/>
      <c r="G60" s="326"/>
      <c r="H60" s="326"/>
    </row>
    <row r="61" spans="1:25" ht="15.75" thickBot="1" x14ac:dyDescent="0.3">
      <c r="A61" s="327" t="s">
        <v>363</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9"/>
    </row>
    <row r="63" spans="1:25" ht="15.75" thickBot="1" x14ac:dyDescent="0.3">
      <c r="A63" s="326" t="s">
        <v>121</v>
      </c>
      <c r="B63" s="326"/>
      <c r="C63" s="326"/>
      <c r="E63" s="326" t="s">
        <v>122</v>
      </c>
      <c r="F63" s="326"/>
      <c r="G63" s="326"/>
    </row>
    <row r="64" spans="1:25" ht="15.75" thickBot="1" x14ac:dyDescent="0.3">
      <c r="A64" s="330" t="s">
        <v>63</v>
      </c>
      <c r="B64" s="331"/>
      <c r="E64" s="330" t="s">
        <v>66</v>
      </c>
      <c r="F64" s="331"/>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332" t="s">
        <v>73</v>
      </c>
      <c r="B68" s="332"/>
      <c r="C68" s="332"/>
      <c r="D68" s="332"/>
      <c r="E68" s="332"/>
      <c r="F68" s="332"/>
      <c r="H68" s="332" t="s">
        <v>261</v>
      </c>
      <c r="I68" s="332"/>
      <c r="J68" s="332"/>
    </row>
    <row r="69" spans="1:25" x14ac:dyDescent="0.25">
      <c r="A69" s="317" t="s">
        <v>384</v>
      </c>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9"/>
    </row>
    <row r="70" spans="1:25" x14ac:dyDescent="0.25">
      <c r="A70" s="320"/>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2"/>
    </row>
    <row r="71" spans="1:25" x14ac:dyDescent="0.25">
      <c r="A71" s="320"/>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2"/>
    </row>
    <row r="72" spans="1:25" x14ac:dyDescent="0.25">
      <c r="A72" s="320"/>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2"/>
    </row>
    <row r="73" spans="1:25" x14ac:dyDescent="0.25">
      <c r="A73" s="320"/>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2"/>
    </row>
    <row r="74" spans="1:25" x14ac:dyDescent="0.25">
      <c r="A74" s="320"/>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2"/>
    </row>
    <row r="75" spans="1:25" x14ac:dyDescent="0.25">
      <c r="A75" s="320"/>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2"/>
    </row>
    <row r="76" spans="1:25" x14ac:dyDescent="0.25">
      <c r="A76" s="320"/>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2"/>
    </row>
    <row r="77" spans="1:25" x14ac:dyDescent="0.25">
      <c r="A77" s="320"/>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2"/>
    </row>
    <row r="78" spans="1:25" x14ac:dyDescent="0.25">
      <c r="A78" s="320"/>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2"/>
    </row>
    <row r="79" spans="1:25" x14ac:dyDescent="0.25">
      <c r="A79" s="320"/>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2"/>
    </row>
    <row r="80" spans="1:25" x14ac:dyDescent="0.25">
      <c r="A80" s="320"/>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2"/>
    </row>
    <row r="81" spans="1:25" x14ac:dyDescent="0.25">
      <c r="A81" s="320"/>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2"/>
    </row>
    <row r="82" spans="1:25" ht="15.75" thickBot="1" x14ac:dyDescent="0.3">
      <c r="A82" s="323"/>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5"/>
    </row>
    <row r="84" spans="1:25" ht="15.75" thickBot="1" x14ac:dyDescent="0.3">
      <c r="A84" s="326" t="s">
        <v>29</v>
      </c>
      <c r="B84" s="326"/>
      <c r="C84" s="326"/>
      <c r="D84" s="326"/>
    </row>
    <row r="85" spans="1:25" x14ac:dyDescent="0.25">
      <c r="A85" s="317" t="s">
        <v>385</v>
      </c>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9"/>
    </row>
    <row r="86" spans="1:25" x14ac:dyDescent="0.25">
      <c r="A86" s="320"/>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2"/>
    </row>
    <row r="87" spans="1:25" x14ac:dyDescent="0.25">
      <c r="A87" s="320"/>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2"/>
    </row>
    <row r="88" spans="1:25" x14ac:dyDescent="0.25">
      <c r="A88" s="320"/>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2"/>
    </row>
    <row r="89" spans="1:25" x14ac:dyDescent="0.25">
      <c r="A89" s="320"/>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2"/>
    </row>
    <row r="90" spans="1:25" x14ac:dyDescent="0.25">
      <c r="A90" s="320"/>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2"/>
    </row>
    <row r="91" spans="1:25" ht="15.75" thickBot="1" x14ac:dyDescent="0.3">
      <c r="A91" s="323"/>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5"/>
    </row>
    <row r="93" spans="1:25" ht="15.75" thickBot="1" x14ac:dyDescent="0.3">
      <c r="A93" s="326" t="s">
        <v>27</v>
      </c>
      <c r="B93" s="326"/>
      <c r="C93" s="326"/>
      <c r="D93" s="326"/>
      <c r="E93" s="326"/>
      <c r="F93" s="326"/>
      <c r="G93" s="326"/>
      <c r="H93" s="326"/>
    </row>
    <row r="94" spans="1:25" ht="15.75" thickBot="1" x14ac:dyDescent="0.3">
      <c r="A94" s="327" t="s">
        <v>315</v>
      </c>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9"/>
    </row>
    <row r="96" spans="1:25" ht="15.75" thickBot="1" x14ac:dyDescent="0.3">
      <c r="A96" s="326" t="s">
        <v>121</v>
      </c>
      <c r="B96" s="326"/>
      <c r="C96" s="326"/>
      <c r="E96" s="326" t="s">
        <v>122</v>
      </c>
      <c r="F96" s="326"/>
      <c r="G96" s="326"/>
    </row>
    <row r="97" spans="1:25" ht="15.75" thickBot="1" x14ac:dyDescent="0.3">
      <c r="A97" s="330" t="s">
        <v>63</v>
      </c>
      <c r="B97" s="331"/>
      <c r="E97" s="330" t="s">
        <v>66</v>
      </c>
      <c r="F97" s="331"/>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332" t="s">
        <v>263</v>
      </c>
      <c r="B101" s="332"/>
      <c r="C101" s="332"/>
      <c r="D101" s="332"/>
      <c r="E101" s="332"/>
      <c r="F101" s="332"/>
      <c r="H101" s="332" t="s">
        <v>267</v>
      </c>
      <c r="I101" s="332"/>
      <c r="J101" s="332"/>
    </row>
    <row r="102" spans="1:25" x14ac:dyDescent="0.25">
      <c r="A102" s="317" t="s">
        <v>314</v>
      </c>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9"/>
    </row>
    <row r="103" spans="1:25" x14ac:dyDescent="0.25">
      <c r="A103" s="320"/>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2"/>
    </row>
    <row r="104" spans="1:25" x14ac:dyDescent="0.25">
      <c r="A104" s="320"/>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2"/>
    </row>
    <row r="105" spans="1:25" x14ac:dyDescent="0.25">
      <c r="A105" s="320"/>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2"/>
    </row>
    <row r="106" spans="1:25" x14ac:dyDescent="0.25">
      <c r="A106" s="320"/>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2"/>
    </row>
    <row r="107" spans="1:25" x14ac:dyDescent="0.25">
      <c r="A107" s="320"/>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2"/>
    </row>
    <row r="108" spans="1:25" x14ac:dyDescent="0.25">
      <c r="A108" s="320"/>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2"/>
    </row>
    <row r="109" spans="1:25" x14ac:dyDescent="0.25">
      <c r="A109" s="320"/>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2"/>
    </row>
    <row r="110" spans="1:25" x14ac:dyDescent="0.25">
      <c r="A110" s="320"/>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2"/>
    </row>
    <row r="111" spans="1:25" x14ac:dyDescent="0.25">
      <c r="A111" s="320"/>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2"/>
    </row>
    <row r="112" spans="1:25" x14ac:dyDescent="0.25">
      <c r="A112" s="320"/>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2"/>
    </row>
    <row r="113" spans="1:25" x14ac:dyDescent="0.25">
      <c r="A113" s="320"/>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2"/>
    </row>
    <row r="114" spans="1:25" x14ac:dyDescent="0.2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2"/>
    </row>
    <row r="115" spans="1:25" ht="15.75" thickBot="1" x14ac:dyDescent="0.3">
      <c r="A115" s="323"/>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5"/>
    </row>
    <row r="117" spans="1:25" ht="15.75" thickBot="1" x14ac:dyDescent="0.3">
      <c r="A117" s="326" t="s">
        <v>29</v>
      </c>
      <c r="B117" s="326"/>
      <c r="C117" s="326"/>
      <c r="D117" s="326"/>
    </row>
    <row r="118" spans="1:25" x14ac:dyDescent="0.25">
      <c r="A118" s="317" t="s">
        <v>268</v>
      </c>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9"/>
    </row>
    <row r="119" spans="1:25" x14ac:dyDescent="0.25">
      <c r="A119" s="320"/>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2"/>
    </row>
    <row r="120" spans="1:25" x14ac:dyDescent="0.25">
      <c r="A120" s="320"/>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2"/>
    </row>
    <row r="121" spans="1:25" x14ac:dyDescent="0.25">
      <c r="A121" s="320"/>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2"/>
    </row>
    <row r="122" spans="1:25" x14ac:dyDescent="0.25">
      <c r="A122" s="320"/>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2"/>
    </row>
    <row r="123" spans="1:25" x14ac:dyDescent="0.25">
      <c r="A123" s="320"/>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2"/>
    </row>
    <row r="124" spans="1:25" ht="15.75" thickBot="1" x14ac:dyDescent="0.3">
      <c r="A124" s="323"/>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5"/>
    </row>
    <row r="126" spans="1:25" ht="15.75" thickBot="1" x14ac:dyDescent="0.3">
      <c r="A126" s="326" t="s">
        <v>27</v>
      </c>
      <c r="B126" s="326"/>
      <c r="C126" s="326"/>
      <c r="D126" s="326"/>
      <c r="E126" s="326"/>
      <c r="F126" s="326"/>
      <c r="G126" s="326"/>
      <c r="H126" s="326"/>
    </row>
    <row r="127" spans="1:25" ht="15.75" thickBot="1" x14ac:dyDescent="0.3">
      <c r="A127" s="327" t="s">
        <v>262</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9"/>
    </row>
    <row r="129" spans="1:25" ht="15.75" thickBot="1" x14ac:dyDescent="0.3">
      <c r="A129" s="326" t="s">
        <v>121</v>
      </c>
      <c r="B129" s="326"/>
      <c r="C129" s="326"/>
      <c r="E129" s="326" t="s">
        <v>122</v>
      </c>
      <c r="F129" s="326"/>
      <c r="G129" s="326"/>
    </row>
    <row r="130" spans="1:25" ht="15.75" thickBot="1" x14ac:dyDescent="0.3">
      <c r="A130" s="330" t="s">
        <v>63</v>
      </c>
      <c r="B130" s="331"/>
      <c r="E130" s="330" t="s">
        <v>66</v>
      </c>
      <c r="F130" s="331"/>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332" t="s">
        <v>74</v>
      </c>
      <c r="B134" s="332"/>
      <c r="C134" s="332"/>
      <c r="D134" s="332"/>
      <c r="E134" s="332"/>
      <c r="F134" s="332"/>
      <c r="H134" s="332" t="s">
        <v>270</v>
      </c>
      <c r="I134" s="332"/>
      <c r="J134" s="332"/>
      <c r="N134" s="25"/>
    </row>
    <row r="135" spans="1:25" x14ac:dyDescent="0.25">
      <c r="A135" s="317" t="s">
        <v>468</v>
      </c>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9"/>
    </row>
    <row r="136" spans="1:25" x14ac:dyDescent="0.25">
      <c r="A136" s="320"/>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2"/>
    </row>
    <row r="137" spans="1:25" x14ac:dyDescent="0.25">
      <c r="A137" s="320"/>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2"/>
    </row>
    <row r="138" spans="1:25" x14ac:dyDescent="0.25">
      <c r="A138" s="320"/>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2"/>
    </row>
    <row r="139" spans="1:25" x14ac:dyDescent="0.25">
      <c r="A139" s="320"/>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2"/>
    </row>
    <row r="140" spans="1:25" x14ac:dyDescent="0.25">
      <c r="A140" s="320"/>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2"/>
    </row>
    <row r="141" spans="1:25" x14ac:dyDescent="0.25">
      <c r="A141" s="320"/>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2"/>
    </row>
    <row r="142" spans="1:25" x14ac:dyDescent="0.25">
      <c r="A142" s="320"/>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2"/>
    </row>
    <row r="143" spans="1:25" x14ac:dyDescent="0.25">
      <c r="A143" s="320"/>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2"/>
    </row>
    <row r="144" spans="1:25" x14ac:dyDescent="0.25">
      <c r="A144" s="320"/>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2"/>
    </row>
    <row r="145" spans="1:25" x14ac:dyDescent="0.25">
      <c r="A145" s="320"/>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2"/>
    </row>
    <row r="146" spans="1:25" x14ac:dyDescent="0.25">
      <c r="A146" s="320"/>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2"/>
    </row>
    <row r="147" spans="1:25" x14ac:dyDescent="0.25">
      <c r="A147" s="320"/>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2"/>
    </row>
    <row r="148" spans="1:25" ht="15.75" thickBot="1" x14ac:dyDescent="0.3">
      <c r="A148" s="323"/>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5"/>
    </row>
    <row r="150" spans="1:25" ht="15.75" thickBot="1" x14ac:dyDescent="0.3">
      <c r="A150" s="326" t="s">
        <v>29</v>
      </c>
      <c r="B150" s="326"/>
      <c r="C150" s="326"/>
      <c r="D150" s="326"/>
    </row>
    <row r="151" spans="1:25" x14ac:dyDescent="0.25">
      <c r="A151" s="317" t="s">
        <v>271</v>
      </c>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9"/>
    </row>
    <row r="152" spans="1:25" x14ac:dyDescent="0.25">
      <c r="A152" s="320"/>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2"/>
    </row>
    <row r="153" spans="1:25" x14ac:dyDescent="0.25">
      <c r="A153" s="320"/>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2"/>
    </row>
    <row r="154" spans="1:25" x14ac:dyDescent="0.25">
      <c r="A154" s="320"/>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2"/>
    </row>
    <row r="155" spans="1:25" x14ac:dyDescent="0.25">
      <c r="A155" s="320"/>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2"/>
    </row>
    <row r="156" spans="1:25" x14ac:dyDescent="0.25">
      <c r="A156" s="320"/>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2"/>
    </row>
    <row r="157" spans="1:25" ht="15.75" thickBot="1" x14ac:dyDescent="0.3">
      <c r="A157" s="323"/>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5"/>
    </row>
    <row r="159" spans="1:25" ht="15.75" thickBot="1" x14ac:dyDescent="0.3">
      <c r="A159" s="326" t="s">
        <v>27</v>
      </c>
      <c r="B159" s="326"/>
      <c r="C159" s="326"/>
      <c r="D159" s="326"/>
      <c r="E159" s="326"/>
      <c r="F159" s="326"/>
      <c r="G159" s="326"/>
      <c r="H159" s="326"/>
    </row>
    <row r="160" spans="1:25" ht="15.75" thickBot="1" x14ac:dyDescent="0.3">
      <c r="A160" s="327" t="s">
        <v>313</v>
      </c>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9"/>
    </row>
    <row r="162" spans="1:25" ht="15.75" thickBot="1" x14ac:dyDescent="0.3">
      <c r="A162" s="326" t="s">
        <v>121</v>
      </c>
      <c r="B162" s="326"/>
      <c r="C162" s="326"/>
      <c r="E162" s="326" t="s">
        <v>122</v>
      </c>
      <c r="F162" s="326"/>
      <c r="G162" s="326"/>
    </row>
    <row r="163" spans="1:25" ht="15.75" thickBot="1" x14ac:dyDescent="0.3">
      <c r="A163" s="330" t="s">
        <v>63</v>
      </c>
      <c r="B163" s="331"/>
      <c r="E163" s="330" t="s">
        <v>66</v>
      </c>
      <c r="F163" s="331"/>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332" t="s">
        <v>75</v>
      </c>
      <c r="B167" s="332"/>
      <c r="C167" s="332"/>
      <c r="D167" s="332"/>
      <c r="E167" s="332"/>
      <c r="F167" s="332"/>
      <c r="H167" s="332" t="s">
        <v>273</v>
      </c>
      <c r="I167" s="332"/>
      <c r="J167" s="332"/>
    </row>
    <row r="168" spans="1:25" x14ac:dyDescent="0.25">
      <c r="A168" s="317" t="s">
        <v>406</v>
      </c>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9"/>
    </row>
    <row r="169" spans="1:25" x14ac:dyDescent="0.25">
      <c r="A169" s="320"/>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2"/>
    </row>
    <row r="170" spans="1:25" x14ac:dyDescent="0.25">
      <c r="A170" s="320"/>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2"/>
    </row>
    <row r="171" spans="1:25" x14ac:dyDescent="0.25">
      <c r="A171" s="320"/>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2"/>
    </row>
    <row r="172" spans="1:25" x14ac:dyDescent="0.25">
      <c r="A172" s="320"/>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2"/>
    </row>
    <row r="173" spans="1:25" x14ac:dyDescent="0.25">
      <c r="A173" s="320"/>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2"/>
    </row>
    <row r="174" spans="1:25" x14ac:dyDescent="0.25">
      <c r="A174" s="320"/>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2"/>
    </row>
    <row r="175" spans="1:25" x14ac:dyDescent="0.25">
      <c r="A175" s="320"/>
      <c r="B175" s="321"/>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2"/>
    </row>
    <row r="176" spans="1:25" x14ac:dyDescent="0.25">
      <c r="A176" s="320"/>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2"/>
    </row>
    <row r="177" spans="1:25" x14ac:dyDescent="0.25">
      <c r="A177" s="320"/>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2"/>
    </row>
    <row r="178" spans="1:25" x14ac:dyDescent="0.25">
      <c r="A178" s="320"/>
      <c r="B178" s="321"/>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2"/>
    </row>
    <row r="179" spans="1:25" x14ac:dyDescent="0.25">
      <c r="A179" s="320"/>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2"/>
    </row>
    <row r="180" spans="1:25" x14ac:dyDescent="0.25">
      <c r="A180" s="320"/>
      <c r="B180" s="321"/>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2"/>
    </row>
    <row r="181" spans="1:25" ht="15.75" thickBot="1" x14ac:dyDescent="0.3">
      <c r="A181" s="323"/>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5"/>
    </row>
    <row r="183" spans="1:25" ht="15.75" thickBot="1" x14ac:dyDescent="0.3">
      <c r="A183" s="326" t="s">
        <v>29</v>
      </c>
      <c r="B183" s="326"/>
      <c r="C183" s="326"/>
      <c r="D183" s="326"/>
    </row>
    <row r="184" spans="1:25" x14ac:dyDescent="0.25">
      <c r="A184" s="317" t="s">
        <v>386</v>
      </c>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9"/>
    </row>
    <row r="185" spans="1:25" x14ac:dyDescent="0.25">
      <c r="A185" s="320"/>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2"/>
    </row>
    <row r="186" spans="1:25" x14ac:dyDescent="0.25">
      <c r="A186" s="320"/>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2"/>
    </row>
    <row r="187" spans="1:25" x14ac:dyDescent="0.25">
      <c r="A187" s="320"/>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2"/>
    </row>
    <row r="188" spans="1:25" x14ac:dyDescent="0.25">
      <c r="A188" s="320"/>
      <c r="B188" s="321"/>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2"/>
    </row>
    <row r="189" spans="1:25" x14ac:dyDescent="0.25">
      <c r="A189" s="320"/>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2"/>
    </row>
    <row r="190" spans="1:25" ht="15.75" thickBot="1" x14ac:dyDescent="0.3">
      <c r="A190" s="323"/>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5"/>
    </row>
    <row r="192" spans="1:25" ht="15.75" thickBot="1" x14ac:dyDescent="0.3">
      <c r="A192" s="326" t="s">
        <v>27</v>
      </c>
      <c r="B192" s="326"/>
      <c r="C192" s="326"/>
      <c r="D192" s="326"/>
      <c r="E192" s="326"/>
      <c r="F192" s="326"/>
      <c r="G192" s="326"/>
      <c r="H192" s="326"/>
    </row>
    <row r="193" spans="1:25" ht="15.75" thickBot="1" x14ac:dyDescent="0.3">
      <c r="A193" s="327" t="s">
        <v>262</v>
      </c>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9"/>
    </row>
    <row r="195" spans="1:25" ht="15.75" thickBot="1" x14ac:dyDescent="0.3">
      <c r="A195" s="326" t="s">
        <v>121</v>
      </c>
      <c r="B195" s="326"/>
      <c r="C195" s="326"/>
      <c r="E195" s="326" t="s">
        <v>122</v>
      </c>
      <c r="F195" s="326"/>
      <c r="G195" s="326"/>
    </row>
    <row r="196" spans="1:25" ht="15.75" thickBot="1" x14ac:dyDescent="0.3">
      <c r="A196" s="330" t="s">
        <v>63</v>
      </c>
      <c r="B196" s="331"/>
      <c r="E196" s="330" t="s">
        <v>65</v>
      </c>
      <c r="F196" s="331"/>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332" t="s">
        <v>76</v>
      </c>
      <c r="B200" s="332"/>
      <c r="C200" s="332"/>
      <c r="D200" s="332"/>
      <c r="E200" s="332"/>
      <c r="F200" s="332"/>
      <c r="H200" s="332" t="s">
        <v>275</v>
      </c>
      <c r="I200" s="332"/>
      <c r="J200" s="332"/>
    </row>
    <row r="201" spans="1:25" x14ac:dyDescent="0.25">
      <c r="A201" s="317" t="s">
        <v>412</v>
      </c>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9"/>
    </row>
    <row r="202" spans="1:25" x14ac:dyDescent="0.25">
      <c r="A202" s="320"/>
      <c r="B202" s="321"/>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2"/>
    </row>
    <row r="203" spans="1:25" x14ac:dyDescent="0.25">
      <c r="A203" s="320"/>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2"/>
    </row>
    <row r="204" spans="1:25" x14ac:dyDescent="0.25">
      <c r="A204" s="320"/>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2"/>
    </row>
    <row r="205" spans="1:25" x14ac:dyDescent="0.25">
      <c r="A205" s="320"/>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2"/>
    </row>
    <row r="206" spans="1:25" x14ac:dyDescent="0.25">
      <c r="A206" s="320"/>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2"/>
    </row>
    <row r="207" spans="1:25" x14ac:dyDescent="0.25">
      <c r="A207" s="320"/>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2"/>
    </row>
    <row r="208" spans="1:25" x14ac:dyDescent="0.25">
      <c r="A208" s="320"/>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2"/>
    </row>
    <row r="209" spans="1:25" x14ac:dyDescent="0.25">
      <c r="A209" s="320"/>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2"/>
    </row>
    <row r="210" spans="1:25" x14ac:dyDescent="0.25">
      <c r="A210" s="320"/>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2"/>
    </row>
    <row r="211" spans="1:25" x14ac:dyDescent="0.25">
      <c r="A211" s="320"/>
      <c r="B211" s="321"/>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2"/>
    </row>
    <row r="212" spans="1:25" x14ac:dyDescent="0.25">
      <c r="A212" s="320"/>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2"/>
    </row>
    <row r="213" spans="1:25" x14ac:dyDescent="0.25">
      <c r="A213" s="320"/>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2"/>
    </row>
    <row r="214" spans="1:25" ht="15.75" thickBot="1" x14ac:dyDescent="0.3">
      <c r="A214" s="323"/>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5"/>
    </row>
    <row r="215" spans="1:25" x14ac:dyDescent="0.25">
      <c r="M215" s="25"/>
    </row>
    <row r="216" spans="1:25" ht="15.75" thickBot="1" x14ac:dyDescent="0.3">
      <c r="A216" s="326" t="s">
        <v>29</v>
      </c>
      <c r="B216" s="326"/>
      <c r="C216" s="326"/>
      <c r="D216" s="326"/>
    </row>
    <row r="217" spans="1:25" x14ac:dyDescent="0.25">
      <c r="A217" s="317" t="s">
        <v>276</v>
      </c>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9"/>
    </row>
    <row r="218" spans="1:25" x14ac:dyDescent="0.25">
      <c r="A218" s="320"/>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2"/>
    </row>
    <row r="219" spans="1:25" x14ac:dyDescent="0.25">
      <c r="A219" s="320"/>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2"/>
    </row>
    <row r="220" spans="1:25" x14ac:dyDescent="0.25">
      <c r="A220" s="320"/>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2"/>
    </row>
    <row r="221" spans="1:25" x14ac:dyDescent="0.25">
      <c r="A221" s="320"/>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2"/>
    </row>
    <row r="222" spans="1:25" x14ac:dyDescent="0.25">
      <c r="A222" s="320"/>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2"/>
    </row>
    <row r="223" spans="1:25" ht="15.75" thickBot="1" x14ac:dyDescent="0.3">
      <c r="A223" s="323"/>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5"/>
    </row>
    <row r="225" spans="1:25" ht="15.75" thickBot="1" x14ac:dyDescent="0.3">
      <c r="A225" s="326" t="s">
        <v>27</v>
      </c>
      <c r="B225" s="326"/>
      <c r="C225" s="326"/>
      <c r="D225" s="326"/>
      <c r="E225" s="326"/>
      <c r="F225" s="326"/>
      <c r="G225" s="326"/>
      <c r="H225" s="326"/>
    </row>
    <row r="226" spans="1:25" ht="15.75" thickBot="1" x14ac:dyDescent="0.3">
      <c r="A226" s="327" t="s">
        <v>262</v>
      </c>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9"/>
    </row>
    <row r="228" spans="1:25" ht="15.75" thickBot="1" x14ac:dyDescent="0.3">
      <c r="A228" s="326" t="s">
        <v>121</v>
      </c>
      <c r="B228" s="326"/>
      <c r="C228" s="326"/>
      <c r="E228" s="326" t="s">
        <v>122</v>
      </c>
      <c r="F228" s="326"/>
      <c r="G228" s="326"/>
    </row>
    <row r="229" spans="1:25" ht="15.75" thickBot="1" x14ac:dyDescent="0.3">
      <c r="A229" s="330" t="s">
        <v>63</v>
      </c>
      <c r="B229" s="331"/>
      <c r="E229" s="330" t="s">
        <v>64</v>
      </c>
      <c r="F229" s="331"/>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332" t="s">
        <v>77</v>
      </c>
      <c r="B233" s="332"/>
      <c r="C233" s="332"/>
      <c r="D233" s="332"/>
      <c r="E233" s="332"/>
      <c r="F233" s="332"/>
      <c r="H233" s="332" t="s">
        <v>277</v>
      </c>
      <c r="I233" s="332"/>
      <c r="J233" s="332"/>
    </row>
    <row r="234" spans="1:25" x14ac:dyDescent="0.25">
      <c r="A234" s="317" t="s">
        <v>407</v>
      </c>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9"/>
    </row>
    <row r="235" spans="1:25" x14ac:dyDescent="0.25">
      <c r="A235" s="320"/>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2"/>
    </row>
    <row r="236" spans="1:25" x14ac:dyDescent="0.25">
      <c r="A236" s="320"/>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2"/>
    </row>
    <row r="237" spans="1:25" x14ac:dyDescent="0.25">
      <c r="A237" s="320"/>
      <c r="B237" s="321"/>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2"/>
    </row>
    <row r="238" spans="1:25" x14ac:dyDescent="0.25">
      <c r="A238" s="320"/>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2"/>
    </row>
    <row r="239" spans="1:25" x14ac:dyDescent="0.25">
      <c r="A239" s="320"/>
      <c r="B239" s="321"/>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2"/>
    </row>
    <row r="240" spans="1:25" x14ac:dyDescent="0.25">
      <c r="A240" s="320"/>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2"/>
    </row>
    <row r="241" spans="1:25" x14ac:dyDescent="0.25">
      <c r="A241" s="320"/>
      <c r="B241" s="321"/>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2"/>
    </row>
    <row r="242" spans="1:25" x14ac:dyDescent="0.25">
      <c r="A242" s="320"/>
      <c r="B242" s="321"/>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2"/>
    </row>
    <row r="243" spans="1:25" x14ac:dyDescent="0.25">
      <c r="A243" s="320"/>
      <c r="B243" s="321"/>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2"/>
    </row>
    <row r="244" spans="1:25" x14ac:dyDescent="0.25">
      <c r="A244" s="320"/>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2"/>
    </row>
    <row r="245" spans="1:25" x14ac:dyDescent="0.25">
      <c r="A245" s="320"/>
      <c r="B245" s="321"/>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2"/>
    </row>
    <row r="246" spans="1:25" x14ac:dyDescent="0.25">
      <c r="A246" s="320"/>
      <c r="B246" s="321"/>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2"/>
    </row>
    <row r="247" spans="1:25" ht="15.75" thickBot="1" x14ac:dyDescent="0.3">
      <c r="A247" s="323"/>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5"/>
    </row>
    <row r="249" spans="1:25" ht="15.75" thickBot="1" x14ac:dyDescent="0.3">
      <c r="A249" s="326" t="s">
        <v>29</v>
      </c>
      <c r="B249" s="326"/>
      <c r="C249" s="326"/>
      <c r="D249" s="326"/>
    </row>
    <row r="250" spans="1:25" x14ac:dyDescent="0.25">
      <c r="A250" s="317" t="s">
        <v>278</v>
      </c>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9"/>
    </row>
    <row r="251" spans="1:25" x14ac:dyDescent="0.25">
      <c r="A251" s="320"/>
      <c r="B251" s="321"/>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2"/>
    </row>
    <row r="252" spans="1:25" x14ac:dyDescent="0.25">
      <c r="A252" s="320"/>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2"/>
    </row>
    <row r="253" spans="1:25" x14ac:dyDescent="0.25">
      <c r="A253" s="320"/>
      <c r="B253" s="321"/>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2"/>
    </row>
    <row r="254" spans="1:25" x14ac:dyDescent="0.25">
      <c r="A254" s="320"/>
      <c r="B254" s="321"/>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2"/>
    </row>
    <row r="255" spans="1:25" x14ac:dyDescent="0.25">
      <c r="A255" s="320"/>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2"/>
    </row>
    <row r="256" spans="1:25" ht="15.75" thickBot="1" x14ac:dyDescent="0.3">
      <c r="A256" s="323"/>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5"/>
    </row>
    <row r="258" spans="1:25" ht="15.75" thickBot="1" x14ac:dyDescent="0.3">
      <c r="A258" s="326" t="s">
        <v>27</v>
      </c>
      <c r="B258" s="326"/>
      <c r="C258" s="326"/>
      <c r="D258" s="326"/>
      <c r="E258" s="326"/>
      <c r="F258" s="326"/>
      <c r="G258" s="326"/>
      <c r="H258" s="326"/>
    </row>
    <row r="259" spans="1:25" ht="15.75" thickBot="1" x14ac:dyDescent="0.3">
      <c r="A259" s="327" t="s">
        <v>312</v>
      </c>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9"/>
    </row>
    <row r="261" spans="1:25" ht="15.75" thickBot="1" x14ac:dyDescent="0.3">
      <c r="A261" s="326" t="s">
        <v>121</v>
      </c>
      <c r="B261" s="326"/>
      <c r="C261" s="326"/>
      <c r="E261" s="326" t="s">
        <v>122</v>
      </c>
      <c r="F261" s="326"/>
      <c r="G261" s="326"/>
    </row>
    <row r="262" spans="1:25" ht="15.75" thickBot="1" x14ac:dyDescent="0.3">
      <c r="A262" s="330" t="s">
        <v>63</v>
      </c>
      <c r="B262" s="331"/>
      <c r="E262" s="330" t="s">
        <v>66</v>
      </c>
      <c r="F262" s="331"/>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332" t="s">
        <v>78</v>
      </c>
      <c r="B266" s="332"/>
      <c r="C266" s="332"/>
      <c r="D266" s="332"/>
      <c r="E266" s="332"/>
      <c r="F266" s="332"/>
      <c r="H266" s="332" t="s">
        <v>280</v>
      </c>
      <c r="I266" s="332"/>
      <c r="J266" s="332"/>
    </row>
    <row r="267" spans="1:25" x14ac:dyDescent="0.25">
      <c r="A267" s="317" t="s">
        <v>387</v>
      </c>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9"/>
    </row>
    <row r="268" spans="1:25" x14ac:dyDescent="0.25">
      <c r="A268" s="320"/>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2"/>
    </row>
    <row r="269" spans="1:25" x14ac:dyDescent="0.25">
      <c r="A269" s="320"/>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2"/>
    </row>
    <row r="270" spans="1:25" x14ac:dyDescent="0.25">
      <c r="A270" s="320"/>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2"/>
    </row>
    <row r="271" spans="1:25" x14ac:dyDescent="0.25">
      <c r="A271" s="320"/>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2"/>
    </row>
    <row r="272" spans="1:25" x14ac:dyDescent="0.25">
      <c r="A272" s="320"/>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2"/>
    </row>
    <row r="273" spans="1:25" x14ac:dyDescent="0.25">
      <c r="A273" s="320"/>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2"/>
    </row>
    <row r="274" spans="1:25" x14ac:dyDescent="0.25">
      <c r="A274" s="320"/>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2"/>
    </row>
    <row r="275" spans="1:25" x14ac:dyDescent="0.25">
      <c r="A275" s="320"/>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2"/>
    </row>
    <row r="276" spans="1:25" x14ac:dyDescent="0.25">
      <c r="A276" s="320"/>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2"/>
    </row>
    <row r="277" spans="1:25" x14ac:dyDescent="0.25">
      <c r="A277" s="320"/>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2"/>
    </row>
    <row r="278" spans="1:25" x14ac:dyDescent="0.25">
      <c r="A278" s="320"/>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2"/>
    </row>
    <row r="279" spans="1:25" x14ac:dyDescent="0.25">
      <c r="A279" s="320"/>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2"/>
    </row>
    <row r="280" spans="1:25" ht="15.75" thickBot="1" x14ac:dyDescent="0.3">
      <c r="A280" s="323"/>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5"/>
    </row>
    <row r="282" spans="1:25" ht="15.75" thickBot="1" x14ac:dyDescent="0.3">
      <c r="A282" s="326" t="s">
        <v>29</v>
      </c>
      <c r="B282" s="326"/>
      <c r="C282" s="326"/>
      <c r="D282" s="326"/>
    </row>
    <row r="283" spans="1:25" x14ac:dyDescent="0.25">
      <c r="A283" s="317" t="s">
        <v>388</v>
      </c>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9"/>
    </row>
    <row r="284" spans="1:25" x14ac:dyDescent="0.25">
      <c r="A284" s="320"/>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2"/>
    </row>
    <row r="285" spans="1:25" x14ac:dyDescent="0.25">
      <c r="A285" s="320"/>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2"/>
    </row>
    <row r="286" spans="1:25" x14ac:dyDescent="0.25">
      <c r="A286" s="320"/>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2"/>
    </row>
    <row r="287" spans="1:25" x14ac:dyDescent="0.25">
      <c r="A287" s="320"/>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2"/>
    </row>
    <row r="288" spans="1:25" x14ac:dyDescent="0.25">
      <c r="A288" s="320"/>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2"/>
    </row>
    <row r="289" spans="1:25" ht="15.75" thickBot="1" x14ac:dyDescent="0.3">
      <c r="A289" s="323"/>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5"/>
    </row>
    <row r="291" spans="1:25" ht="15.75" thickBot="1" x14ac:dyDescent="0.3">
      <c r="A291" s="326" t="s">
        <v>27</v>
      </c>
      <c r="B291" s="326"/>
      <c r="C291" s="326"/>
      <c r="D291" s="326"/>
      <c r="E291" s="326"/>
      <c r="F291" s="326"/>
      <c r="G291" s="326"/>
      <c r="H291" s="326"/>
    </row>
    <row r="292" spans="1:25" ht="15.75" thickBot="1" x14ac:dyDescent="0.3">
      <c r="A292" s="327" t="s">
        <v>262</v>
      </c>
      <c r="B292" s="328"/>
      <c r="C292" s="328"/>
      <c r="D292" s="328"/>
      <c r="E292" s="328"/>
      <c r="F292" s="328"/>
      <c r="G292" s="328"/>
      <c r="H292" s="328"/>
      <c r="I292" s="328"/>
      <c r="J292" s="328"/>
      <c r="K292" s="328"/>
      <c r="L292" s="328"/>
      <c r="M292" s="328"/>
      <c r="N292" s="328"/>
      <c r="O292" s="328"/>
      <c r="P292" s="328"/>
      <c r="Q292" s="328"/>
      <c r="R292" s="328"/>
      <c r="S292" s="328"/>
      <c r="T292" s="328"/>
      <c r="U292" s="328"/>
      <c r="V292" s="328"/>
      <c r="W292" s="328"/>
      <c r="X292" s="328"/>
      <c r="Y292" s="329"/>
    </row>
    <row r="294" spans="1:25" ht="15.75" thickBot="1" x14ac:dyDescent="0.3">
      <c r="A294" s="326" t="s">
        <v>121</v>
      </c>
      <c r="B294" s="326"/>
      <c r="C294" s="326"/>
      <c r="E294" s="326" t="s">
        <v>122</v>
      </c>
      <c r="F294" s="326"/>
      <c r="G294" s="326"/>
    </row>
    <row r="295" spans="1:25" ht="15.75" thickBot="1" x14ac:dyDescent="0.3">
      <c r="A295" s="330" t="s">
        <v>65</v>
      </c>
      <c r="B295" s="331"/>
      <c r="E295" s="330" t="s">
        <v>66</v>
      </c>
      <c r="F295" s="331"/>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332" t="s">
        <v>79</v>
      </c>
      <c r="B299" s="332"/>
      <c r="C299" s="332"/>
      <c r="D299" s="332"/>
      <c r="E299" s="332"/>
      <c r="F299" s="332"/>
      <c r="H299" s="332" t="s">
        <v>283</v>
      </c>
      <c r="I299" s="332"/>
      <c r="J299" s="332"/>
    </row>
    <row r="300" spans="1:25" x14ac:dyDescent="0.25">
      <c r="A300" s="317" t="s">
        <v>389</v>
      </c>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9"/>
    </row>
    <row r="301" spans="1:25" x14ac:dyDescent="0.25">
      <c r="A301" s="320"/>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2"/>
    </row>
    <row r="302" spans="1:25" x14ac:dyDescent="0.25">
      <c r="A302" s="320"/>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2"/>
    </row>
    <row r="303" spans="1:25" x14ac:dyDescent="0.25">
      <c r="A303" s="320"/>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2"/>
    </row>
    <row r="304" spans="1:25" x14ac:dyDescent="0.25">
      <c r="A304" s="320"/>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2"/>
    </row>
    <row r="305" spans="1:25" x14ac:dyDescent="0.25">
      <c r="A305" s="320"/>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2"/>
    </row>
    <row r="306" spans="1:25" x14ac:dyDescent="0.25">
      <c r="A306" s="320"/>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2"/>
    </row>
    <row r="307" spans="1:25" x14ac:dyDescent="0.25">
      <c r="A307" s="320"/>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2"/>
    </row>
    <row r="308" spans="1:25" x14ac:dyDescent="0.25">
      <c r="A308" s="320"/>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2"/>
    </row>
    <row r="309" spans="1:25" x14ac:dyDescent="0.25">
      <c r="A309" s="320"/>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2"/>
    </row>
    <row r="310" spans="1:25" x14ac:dyDescent="0.25">
      <c r="A310" s="320"/>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2"/>
    </row>
    <row r="311" spans="1:25" x14ac:dyDescent="0.25">
      <c r="A311" s="320"/>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2"/>
    </row>
    <row r="312" spans="1:25" x14ac:dyDescent="0.25">
      <c r="A312" s="320"/>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2"/>
    </row>
    <row r="313" spans="1:25" ht="15.75" thickBot="1" x14ac:dyDescent="0.3">
      <c r="A313" s="323"/>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5"/>
    </row>
    <row r="315" spans="1:25" ht="15.75" thickBot="1" x14ac:dyDescent="0.3">
      <c r="A315" s="326" t="s">
        <v>29</v>
      </c>
      <c r="B315" s="326"/>
      <c r="C315" s="326"/>
      <c r="D315" s="326"/>
    </row>
    <row r="316" spans="1:25" ht="45" customHeight="1" x14ac:dyDescent="0.25">
      <c r="A316" s="317" t="s">
        <v>390</v>
      </c>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9"/>
    </row>
    <row r="317" spans="1:25" ht="45" customHeight="1" x14ac:dyDescent="0.25">
      <c r="A317" s="320"/>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2"/>
    </row>
    <row r="318" spans="1:25" ht="45" customHeight="1" x14ac:dyDescent="0.25">
      <c r="A318" s="320"/>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2"/>
    </row>
    <row r="319" spans="1:25" ht="45" customHeight="1" x14ac:dyDescent="0.25">
      <c r="A319" s="320"/>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2"/>
    </row>
    <row r="320" spans="1:25" ht="45" customHeight="1" x14ac:dyDescent="0.25">
      <c r="A320" s="320"/>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2"/>
    </row>
    <row r="321" spans="1:25" ht="45" customHeight="1" x14ac:dyDescent="0.25">
      <c r="A321" s="320"/>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2"/>
    </row>
    <row r="322" spans="1:25" ht="45" customHeight="1" thickBot="1" x14ac:dyDescent="0.3">
      <c r="A322" s="323"/>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5"/>
    </row>
    <row r="324" spans="1:25" ht="15.75" thickBot="1" x14ac:dyDescent="0.3">
      <c r="A324" s="326" t="s">
        <v>27</v>
      </c>
      <c r="B324" s="326"/>
      <c r="C324" s="326"/>
      <c r="D324" s="326"/>
      <c r="E324" s="326"/>
      <c r="F324" s="326"/>
      <c r="G324" s="326"/>
      <c r="H324" s="326"/>
    </row>
    <row r="325" spans="1:25" ht="15.75" thickBot="1" x14ac:dyDescent="0.3">
      <c r="A325" s="327" t="s">
        <v>310</v>
      </c>
      <c r="B325" s="328"/>
      <c r="C325" s="328"/>
      <c r="D325" s="328"/>
      <c r="E325" s="328"/>
      <c r="F325" s="328"/>
      <c r="G325" s="328"/>
      <c r="H325" s="328"/>
      <c r="I325" s="328"/>
      <c r="J325" s="328"/>
      <c r="K325" s="328"/>
      <c r="L325" s="328"/>
      <c r="M325" s="328"/>
      <c r="N325" s="328"/>
      <c r="O325" s="328"/>
      <c r="P325" s="328"/>
      <c r="Q325" s="328"/>
      <c r="R325" s="328"/>
      <c r="S325" s="328"/>
      <c r="T325" s="328"/>
      <c r="U325" s="328"/>
      <c r="V325" s="328"/>
      <c r="W325" s="328"/>
      <c r="X325" s="328"/>
      <c r="Y325" s="329"/>
    </row>
    <row r="327" spans="1:25" ht="15.75" thickBot="1" x14ac:dyDescent="0.3">
      <c r="A327" s="326" t="s">
        <v>121</v>
      </c>
      <c r="B327" s="326"/>
      <c r="C327" s="326"/>
      <c r="E327" s="326" t="s">
        <v>122</v>
      </c>
      <c r="F327" s="326"/>
      <c r="G327" s="326"/>
    </row>
    <row r="328" spans="1:25" ht="15.75" thickBot="1" x14ac:dyDescent="0.3">
      <c r="A328" s="330" t="s">
        <v>63</v>
      </c>
      <c r="B328" s="331"/>
      <c r="E328" s="330" t="s">
        <v>66</v>
      </c>
      <c r="F328" s="331"/>
    </row>
    <row r="330" spans="1:25" s="12" customFormat="1" x14ac:dyDescent="0.25"/>
    <row r="332" spans="1:25" ht="19.5" thickBot="1" x14ac:dyDescent="0.35">
      <c r="A332" s="332" t="s">
        <v>80</v>
      </c>
      <c r="B332" s="332"/>
      <c r="C332" s="332"/>
      <c r="D332" s="332"/>
      <c r="E332" s="332"/>
      <c r="F332" s="332"/>
      <c r="H332" s="332" t="s">
        <v>284</v>
      </c>
      <c r="I332" s="332"/>
      <c r="J332" s="332"/>
    </row>
    <row r="333" spans="1:25" x14ac:dyDescent="0.25">
      <c r="A333" s="317" t="s">
        <v>391</v>
      </c>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9"/>
    </row>
    <row r="334" spans="1:25" x14ac:dyDescent="0.25">
      <c r="A334" s="320"/>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2"/>
    </row>
    <row r="335" spans="1:25" x14ac:dyDescent="0.25">
      <c r="A335" s="320"/>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2"/>
    </row>
    <row r="336" spans="1:25" x14ac:dyDescent="0.25">
      <c r="A336" s="320"/>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2"/>
    </row>
    <row r="337" spans="1:25" x14ac:dyDescent="0.25">
      <c r="A337" s="320"/>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2"/>
    </row>
    <row r="338" spans="1:25" x14ac:dyDescent="0.25">
      <c r="A338" s="320"/>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2"/>
    </row>
    <row r="339" spans="1:25" x14ac:dyDescent="0.25">
      <c r="A339" s="320"/>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2"/>
    </row>
    <row r="340" spans="1:25" x14ac:dyDescent="0.25">
      <c r="A340" s="320"/>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2"/>
    </row>
    <row r="341" spans="1:25" x14ac:dyDescent="0.25">
      <c r="A341" s="320"/>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2"/>
    </row>
    <row r="342" spans="1:25" x14ac:dyDescent="0.25">
      <c r="A342" s="320"/>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2"/>
    </row>
    <row r="343" spans="1:25" x14ac:dyDescent="0.25">
      <c r="A343" s="320"/>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2"/>
    </row>
    <row r="344" spans="1:25" x14ac:dyDescent="0.25">
      <c r="A344" s="320"/>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2"/>
    </row>
    <row r="345" spans="1:25" x14ac:dyDescent="0.25">
      <c r="A345" s="320"/>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2"/>
    </row>
    <row r="346" spans="1:25" ht="15.75" thickBot="1" x14ac:dyDescent="0.3">
      <c r="A346" s="323"/>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5"/>
    </row>
    <row r="348" spans="1:25" ht="15.75" thickBot="1" x14ac:dyDescent="0.3">
      <c r="A348" s="326" t="s">
        <v>29</v>
      </c>
      <c r="B348" s="326"/>
      <c r="C348" s="326"/>
      <c r="D348" s="326"/>
    </row>
    <row r="349" spans="1:25" x14ac:dyDescent="0.25">
      <c r="A349" s="317" t="s">
        <v>392</v>
      </c>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9"/>
    </row>
    <row r="350" spans="1:25" x14ac:dyDescent="0.25">
      <c r="A350" s="320"/>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2"/>
    </row>
    <row r="351" spans="1:25" x14ac:dyDescent="0.25">
      <c r="A351" s="320"/>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2"/>
    </row>
    <row r="352" spans="1:25" x14ac:dyDescent="0.25">
      <c r="A352" s="320"/>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2"/>
    </row>
    <row r="353" spans="1:25" x14ac:dyDescent="0.25">
      <c r="A353" s="320"/>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2"/>
    </row>
    <row r="354" spans="1:25" x14ac:dyDescent="0.25">
      <c r="A354" s="320"/>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2"/>
    </row>
    <row r="355" spans="1:25" ht="15.75" thickBot="1" x14ac:dyDescent="0.3">
      <c r="A355" s="323"/>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5"/>
    </row>
    <row r="357" spans="1:25" ht="15.75" thickBot="1" x14ac:dyDescent="0.3">
      <c r="A357" s="326" t="s">
        <v>27</v>
      </c>
      <c r="B357" s="326"/>
      <c r="C357" s="326"/>
      <c r="D357" s="326"/>
      <c r="E357" s="326"/>
      <c r="F357" s="326"/>
      <c r="G357" s="326"/>
      <c r="H357" s="326"/>
    </row>
    <row r="358" spans="1:25" ht="15.75" thickBot="1" x14ac:dyDescent="0.3">
      <c r="A358" s="327" t="s">
        <v>311</v>
      </c>
      <c r="B358" s="328"/>
      <c r="C358" s="328"/>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9"/>
    </row>
    <row r="360" spans="1:25" ht="15.75" thickBot="1" x14ac:dyDescent="0.3">
      <c r="A360" s="326" t="s">
        <v>121</v>
      </c>
      <c r="B360" s="326"/>
      <c r="C360" s="326"/>
      <c r="E360" s="326" t="s">
        <v>122</v>
      </c>
      <c r="F360" s="326"/>
      <c r="G360" s="326"/>
    </row>
    <row r="361" spans="1:25" ht="15.75" thickBot="1" x14ac:dyDescent="0.3">
      <c r="A361" s="330" t="s">
        <v>63</v>
      </c>
      <c r="B361" s="331"/>
      <c r="E361" s="330" t="s">
        <v>66</v>
      </c>
      <c r="F361" s="331"/>
    </row>
    <row r="363" spans="1:25" s="12" customFormat="1" x14ac:dyDescent="0.25"/>
    <row r="365" spans="1:25" ht="19.5" thickBot="1" x14ac:dyDescent="0.35">
      <c r="A365" s="332" t="s">
        <v>81</v>
      </c>
      <c r="B365" s="332"/>
      <c r="C365" s="332"/>
      <c r="D365" s="332"/>
      <c r="E365" s="332"/>
      <c r="F365" s="332"/>
      <c r="H365" s="332" t="s">
        <v>286</v>
      </c>
      <c r="I365" s="332"/>
      <c r="J365" s="332"/>
    </row>
    <row r="366" spans="1:25" x14ac:dyDescent="0.25">
      <c r="A366" s="317" t="s">
        <v>470</v>
      </c>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9"/>
    </row>
    <row r="367" spans="1:25" x14ac:dyDescent="0.25">
      <c r="A367" s="320"/>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2"/>
    </row>
    <row r="368" spans="1:25" x14ac:dyDescent="0.25">
      <c r="A368" s="320"/>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2"/>
    </row>
    <row r="369" spans="1:25" x14ac:dyDescent="0.25">
      <c r="A369" s="320"/>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2"/>
    </row>
    <row r="370" spans="1:25" x14ac:dyDescent="0.25">
      <c r="A370" s="320"/>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2"/>
    </row>
    <row r="371" spans="1:25" x14ac:dyDescent="0.25">
      <c r="A371" s="320"/>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2"/>
    </row>
    <row r="372" spans="1:25" x14ac:dyDescent="0.25">
      <c r="A372" s="320"/>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2"/>
    </row>
    <row r="373" spans="1:25" x14ac:dyDescent="0.25">
      <c r="A373" s="320"/>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2"/>
    </row>
    <row r="374" spans="1:25" x14ac:dyDescent="0.25">
      <c r="A374" s="320"/>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2"/>
    </row>
    <row r="375" spans="1:25" x14ac:dyDescent="0.25">
      <c r="A375" s="320"/>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2"/>
    </row>
    <row r="376" spans="1:25" x14ac:dyDescent="0.25">
      <c r="A376" s="320"/>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2"/>
    </row>
    <row r="377" spans="1:25" x14ac:dyDescent="0.25">
      <c r="A377" s="320"/>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2"/>
    </row>
    <row r="378" spans="1:25" x14ac:dyDescent="0.25">
      <c r="A378" s="320"/>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2"/>
    </row>
    <row r="379" spans="1:25" ht="15.75" thickBot="1" x14ac:dyDescent="0.3">
      <c r="A379" s="323"/>
      <c r="B379" s="324"/>
      <c r="C379" s="324"/>
      <c r="D379" s="324"/>
      <c r="E379" s="324"/>
      <c r="F379" s="324"/>
      <c r="G379" s="324"/>
      <c r="H379" s="324"/>
      <c r="I379" s="324"/>
      <c r="J379" s="324"/>
      <c r="K379" s="324"/>
      <c r="L379" s="324"/>
      <c r="M379" s="324"/>
      <c r="N379" s="324"/>
      <c r="O379" s="324"/>
      <c r="P379" s="324"/>
      <c r="Q379" s="324"/>
      <c r="R379" s="324"/>
      <c r="S379" s="324"/>
      <c r="T379" s="324"/>
      <c r="U379" s="324"/>
      <c r="V379" s="324"/>
      <c r="W379" s="324"/>
      <c r="X379" s="324"/>
      <c r="Y379" s="325"/>
    </row>
    <row r="381" spans="1:25" ht="15.75" thickBot="1" x14ac:dyDescent="0.3">
      <c r="A381" s="326" t="s">
        <v>29</v>
      </c>
      <c r="B381" s="326"/>
      <c r="C381" s="326"/>
      <c r="D381" s="326"/>
    </row>
    <row r="382" spans="1:25" x14ac:dyDescent="0.25">
      <c r="A382" s="317" t="s">
        <v>393</v>
      </c>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9"/>
    </row>
    <row r="383" spans="1:25" x14ac:dyDescent="0.25">
      <c r="A383" s="320"/>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2"/>
    </row>
    <row r="384" spans="1:25" x14ac:dyDescent="0.25">
      <c r="A384" s="320"/>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2"/>
    </row>
    <row r="385" spans="1:25" x14ac:dyDescent="0.25">
      <c r="A385" s="320"/>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2"/>
    </row>
    <row r="386" spans="1:25" x14ac:dyDescent="0.25">
      <c r="A386" s="320"/>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2"/>
    </row>
    <row r="387" spans="1:25" x14ac:dyDescent="0.25">
      <c r="A387" s="320"/>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2"/>
    </row>
    <row r="388" spans="1:25" ht="15.75" thickBot="1" x14ac:dyDescent="0.3">
      <c r="A388" s="323"/>
      <c r="B388" s="324"/>
      <c r="C388" s="324"/>
      <c r="D388" s="324"/>
      <c r="E388" s="324"/>
      <c r="F388" s="324"/>
      <c r="G388" s="324"/>
      <c r="H388" s="324"/>
      <c r="I388" s="324"/>
      <c r="J388" s="324"/>
      <c r="K388" s="324"/>
      <c r="L388" s="324"/>
      <c r="M388" s="324"/>
      <c r="N388" s="324"/>
      <c r="O388" s="324"/>
      <c r="P388" s="324"/>
      <c r="Q388" s="324"/>
      <c r="R388" s="324"/>
      <c r="S388" s="324"/>
      <c r="T388" s="324"/>
      <c r="U388" s="324"/>
      <c r="V388" s="324"/>
      <c r="W388" s="324"/>
      <c r="X388" s="324"/>
      <c r="Y388" s="325"/>
    </row>
    <row r="390" spans="1:25" ht="15.75" thickBot="1" x14ac:dyDescent="0.3">
      <c r="A390" s="326" t="s">
        <v>27</v>
      </c>
      <c r="B390" s="326"/>
      <c r="C390" s="326"/>
      <c r="D390" s="326"/>
      <c r="E390" s="326"/>
      <c r="F390" s="326"/>
      <c r="G390" s="326"/>
      <c r="H390" s="326"/>
    </row>
    <row r="391" spans="1:25" ht="15.75" thickBot="1" x14ac:dyDescent="0.3">
      <c r="A391" s="327" t="s">
        <v>262</v>
      </c>
      <c r="B391" s="328"/>
      <c r="C391" s="328"/>
      <c r="D391" s="328"/>
      <c r="E391" s="328"/>
      <c r="F391" s="328"/>
      <c r="G391" s="328"/>
      <c r="H391" s="328"/>
      <c r="I391" s="328"/>
      <c r="J391" s="328"/>
      <c r="K391" s="328"/>
      <c r="L391" s="328"/>
      <c r="M391" s="328"/>
      <c r="N391" s="328"/>
      <c r="O391" s="328"/>
      <c r="P391" s="328"/>
      <c r="Q391" s="328"/>
      <c r="R391" s="328"/>
      <c r="S391" s="328"/>
      <c r="T391" s="328"/>
      <c r="U391" s="328"/>
      <c r="V391" s="328"/>
      <c r="W391" s="328"/>
      <c r="X391" s="328"/>
      <c r="Y391" s="329"/>
    </row>
    <row r="393" spans="1:25" ht="15.75" thickBot="1" x14ac:dyDescent="0.3">
      <c r="A393" s="326" t="s">
        <v>121</v>
      </c>
      <c r="B393" s="326"/>
      <c r="C393" s="326"/>
      <c r="E393" s="326" t="s">
        <v>122</v>
      </c>
      <c r="F393" s="326"/>
      <c r="G393" s="326"/>
    </row>
    <row r="394" spans="1:25" ht="15.75" thickBot="1" x14ac:dyDescent="0.3">
      <c r="A394" s="330" t="s">
        <v>63</v>
      </c>
      <c r="B394" s="331"/>
      <c r="E394" s="330" t="s">
        <v>66</v>
      </c>
      <c r="F394" s="331"/>
    </row>
    <row r="396" spans="1:25" s="12" customFormat="1" x14ac:dyDescent="0.25"/>
    <row r="398" spans="1:25" ht="19.5" thickBot="1" x14ac:dyDescent="0.35">
      <c r="A398" s="332" t="s">
        <v>82</v>
      </c>
      <c r="B398" s="332"/>
      <c r="C398" s="332"/>
      <c r="D398" s="332"/>
      <c r="E398" s="332"/>
      <c r="F398" s="332"/>
      <c r="H398" s="332" t="s">
        <v>416</v>
      </c>
      <c r="I398" s="332"/>
      <c r="J398" s="332"/>
    </row>
    <row r="399" spans="1:25" x14ac:dyDescent="0.25">
      <c r="A399" s="317" t="s">
        <v>288</v>
      </c>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9"/>
    </row>
    <row r="400" spans="1:25" x14ac:dyDescent="0.25">
      <c r="A400" s="320"/>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2"/>
    </row>
    <row r="401" spans="1:25" x14ac:dyDescent="0.25">
      <c r="A401" s="320"/>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2"/>
    </row>
    <row r="402" spans="1:25" x14ac:dyDescent="0.25">
      <c r="A402" s="320"/>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2"/>
    </row>
    <row r="403" spans="1:25" x14ac:dyDescent="0.25">
      <c r="A403" s="320"/>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2"/>
    </row>
    <row r="404" spans="1:25" x14ac:dyDescent="0.25">
      <c r="A404" s="320"/>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2"/>
    </row>
    <row r="405" spans="1:25" x14ac:dyDescent="0.25">
      <c r="A405" s="320"/>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2"/>
    </row>
    <row r="406" spans="1:25" x14ac:dyDescent="0.25">
      <c r="A406" s="320"/>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2"/>
    </row>
    <row r="407" spans="1:25" x14ac:dyDescent="0.25">
      <c r="A407" s="320"/>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2"/>
    </row>
    <row r="408" spans="1:25" x14ac:dyDescent="0.25">
      <c r="A408" s="320"/>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2"/>
    </row>
    <row r="409" spans="1:25" x14ac:dyDescent="0.25">
      <c r="A409" s="320"/>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2"/>
    </row>
    <row r="410" spans="1:25" x14ac:dyDescent="0.25">
      <c r="A410" s="320"/>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2"/>
    </row>
    <row r="411" spans="1:25" x14ac:dyDescent="0.25">
      <c r="A411" s="320"/>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2"/>
    </row>
    <row r="412" spans="1:25" ht="15.75" thickBot="1" x14ac:dyDescent="0.3">
      <c r="A412" s="323"/>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5"/>
    </row>
    <row r="414" spans="1:25" ht="15.75" thickBot="1" x14ac:dyDescent="0.3">
      <c r="A414" s="326" t="s">
        <v>29</v>
      </c>
      <c r="B414" s="326"/>
      <c r="C414" s="326"/>
      <c r="D414" s="326"/>
    </row>
    <row r="415" spans="1:25" x14ac:dyDescent="0.25">
      <c r="A415" s="317" t="s">
        <v>289</v>
      </c>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9"/>
    </row>
    <row r="416" spans="1:25" x14ac:dyDescent="0.25">
      <c r="A416" s="320"/>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2"/>
    </row>
    <row r="417" spans="1:32" x14ac:dyDescent="0.25">
      <c r="A417" s="320"/>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2"/>
    </row>
    <row r="418" spans="1:32" x14ac:dyDescent="0.25">
      <c r="A418" s="320"/>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2"/>
    </row>
    <row r="419" spans="1:32" x14ac:dyDescent="0.25">
      <c r="A419" s="320"/>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2"/>
      <c r="AF419" s="13"/>
    </row>
    <row r="420" spans="1:32" x14ac:dyDescent="0.25">
      <c r="A420" s="320"/>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2"/>
    </row>
    <row r="421" spans="1:32" ht="15.75" thickBot="1" x14ac:dyDescent="0.3">
      <c r="A421" s="323"/>
      <c r="B421" s="324"/>
      <c r="C421" s="324"/>
      <c r="D421" s="324"/>
      <c r="E421" s="324"/>
      <c r="F421" s="324"/>
      <c r="G421" s="324"/>
      <c r="H421" s="324"/>
      <c r="I421" s="324"/>
      <c r="J421" s="324"/>
      <c r="K421" s="324"/>
      <c r="L421" s="324"/>
      <c r="M421" s="324"/>
      <c r="N421" s="324"/>
      <c r="O421" s="324"/>
      <c r="P421" s="324"/>
      <c r="Q421" s="324"/>
      <c r="R421" s="324"/>
      <c r="S421" s="324"/>
      <c r="T421" s="324"/>
      <c r="U421" s="324"/>
      <c r="V421" s="324"/>
      <c r="W421" s="324"/>
      <c r="X421" s="324"/>
      <c r="Y421" s="325"/>
    </row>
    <row r="423" spans="1:32" ht="15.75" thickBot="1" x14ac:dyDescent="0.3">
      <c r="A423" s="326" t="s">
        <v>27</v>
      </c>
      <c r="B423" s="326"/>
      <c r="C423" s="326"/>
      <c r="D423" s="326"/>
      <c r="E423" s="326"/>
      <c r="F423" s="326"/>
      <c r="G423" s="326"/>
      <c r="H423" s="326"/>
    </row>
    <row r="424" spans="1:32" ht="15.75" thickBot="1" x14ac:dyDescent="0.3">
      <c r="A424" s="327" t="s">
        <v>310</v>
      </c>
      <c r="B424" s="328"/>
      <c r="C424" s="328"/>
      <c r="D424" s="328"/>
      <c r="E424" s="328"/>
      <c r="F424" s="328"/>
      <c r="G424" s="328"/>
      <c r="H424" s="328"/>
      <c r="I424" s="328"/>
      <c r="J424" s="328"/>
      <c r="K424" s="328"/>
      <c r="L424" s="328"/>
      <c r="M424" s="328"/>
      <c r="N424" s="328"/>
      <c r="O424" s="328"/>
      <c r="P424" s="328"/>
      <c r="Q424" s="328"/>
      <c r="R424" s="328"/>
      <c r="S424" s="328"/>
      <c r="T424" s="328"/>
      <c r="U424" s="328"/>
      <c r="V424" s="328"/>
      <c r="W424" s="328"/>
      <c r="X424" s="328"/>
      <c r="Y424" s="329"/>
    </row>
    <row r="426" spans="1:32" ht="15.75" thickBot="1" x14ac:dyDescent="0.3">
      <c r="A426" s="326" t="s">
        <v>121</v>
      </c>
      <c r="B426" s="326"/>
      <c r="C426" s="326"/>
      <c r="E426" s="326" t="s">
        <v>122</v>
      </c>
      <c r="F426" s="326"/>
      <c r="G426" s="326"/>
    </row>
    <row r="427" spans="1:32" ht="15.75" thickBot="1" x14ac:dyDescent="0.3">
      <c r="A427" s="330" t="s">
        <v>63</v>
      </c>
      <c r="B427" s="331"/>
      <c r="E427" s="330" t="s">
        <v>66</v>
      </c>
      <c r="F427" s="331"/>
    </row>
    <row r="429" spans="1:32" s="12" customFormat="1" x14ac:dyDescent="0.25"/>
    <row r="431" spans="1:32" ht="19.5" thickBot="1" x14ac:dyDescent="0.35">
      <c r="A431" s="332" t="s">
        <v>83</v>
      </c>
      <c r="B431" s="332"/>
      <c r="C431" s="332"/>
      <c r="D431" s="332"/>
      <c r="E431" s="332"/>
      <c r="F431" s="332"/>
      <c r="H431" s="332" t="s">
        <v>293</v>
      </c>
      <c r="I431" s="332"/>
      <c r="J431" s="332"/>
    </row>
    <row r="432" spans="1:32" x14ac:dyDescent="0.25">
      <c r="A432" s="317" t="s">
        <v>294</v>
      </c>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9"/>
    </row>
    <row r="433" spans="1:25" x14ac:dyDescent="0.25">
      <c r="A433" s="320"/>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2"/>
    </row>
    <row r="434" spans="1:25" x14ac:dyDescent="0.25">
      <c r="A434" s="320"/>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2"/>
    </row>
    <row r="435" spans="1:25" x14ac:dyDescent="0.25">
      <c r="A435" s="320"/>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2"/>
    </row>
    <row r="436" spans="1:25" x14ac:dyDescent="0.25">
      <c r="A436" s="320"/>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2"/>
    </row>
    <row r="437" spans="1:25" x14ac:dyDescent="0.25">
      <c r="A437" s="320"/>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2"/>
    </row>
    <row r="438" spans="1:25" x14ac:dyDescent="0.25">
      <c r="A438" s="320"/>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2"/>
    </row>
    <row r="439" spans="1:25" x14ac:dyDescent="0.25">
      <c r="A439" s="320"/>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2"/>
    </row>
    <row r="440" spans="1:25" x14ac:dyDescent="0.25">
      <c r="A440" s="320"/>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2"/>
    </row>
    <row r="441" spans="1:25" x14ac:dyDescent="0.25">
      <c r="A441" s="320"/>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2"/>
    </row>
    <row r="442" spans="1:25" x14ac:dyDescent="0.25">
      <c r="A442" s="320"/>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2"/>
    </row>
    <row r="443" spans="1:25" x14ac:dyDescent="0.25">
      <c r="A443" s="320"/>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2"/>
    </row>
    <row r="444" spans="1:25" x14ac:dyDescent="0.25">
      <c r="A444" s="320"/>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2"/>
    </row>
    <row r="445" spans="1:25" ht="15.75" thickBot="1" x14ac:dyDescent="0.3">
      <c r="A445" s="323"/>
      <c r="B445" s="324"/>
      <c r="C445" s="324"/>
      <c r="D445" s="324"/>
      <c r="E445" s="324"/>
      <c r="F445" s="324"/>
      <c r="G445" s="324"/>
      <c r="H445" s="324"/>
      <c r="I445" s="324"/>
      <c r="J445" s="324"/>
      <c r="K445" s="324"/>
      <c r="L445" s="324"/>
      <c r="M445" s="324"/>
      <c r="N445" s="324"/>
      <c r="O445" s="324"/>
      <c r="P445" s="324"/>
      <c r="Q445" s="324"/>
      <c r="R445" s="324"/>
      <c r="S445" s="324"/>
      <c r="T445" s="324"/>
      <c r="U445" s="324"/>
      <c r="V445" s="324"/>
      <c r="W445" s="324"/>
      <c r="X445" s="324"/>
      <c r="Y445" s="325"/>
    </row>
    <row r="447" spans="1:25" ht="15.75" thickBot="1" x14ac:dyDescent="0.3">
      <c r="A447" s="326" t="s">
        <v>29</v>
      </c>
      <c r="B447" s="326"/>
      <c r="C447" s="326"/>
      <c r="D447" s="326"/>
    </row>
    <row r="448" spans="1:25" x14ac:dyDescent="0.25">
      <c r="A448" s="317" t="s">
        <v>295</v>
      </c>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9"/>
    </row>
    <row r="449" spans="1:25" x14ac:dyDescent="0.25">
      <c r="A449" s="320"/>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2"/>
    </row>
    <row r="450" spans="1:25" x14ac:dyDescent="0.25">
      <c r="A450" s="320"/>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2"/>
    </row>
    <row r="451" spans="1:25" x14ac:dyDescent="0.25">
      <c r="A451" s="320"/>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2"/>
    </row>
    <row r="452" spans="1:25" x14ac:dyDescent="0.25">
      <c r="A452" s="320"/>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2"/>
    </row>
    <row r="453" spans="1:25" x14ac:dyDescent="0.25">
      <c r="A453" s="320"/>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2"/>
    </row>
    <row r="454" spans="1:25" ht="15.75" thickBot="1" x14ac:dyDescent="0.3">
      <c r="A454" s="323"/>
      <c r="B454" s="324"/>
      <c r="C454" s="324"/>
      <c r="D454" s="324"/>
      <c r="E454" s="324"/>
      <c r="F454" s="324"/>
      <c r="G454" s="324"/>
      <c r="H454" s="324"/>
      <c r="I454" s="324"/>
      <c r="J454" s="324"/>
      <c r="K454" s="324"/>
      <c r="L454" s="324"/>
      <c r="M454" s="324"/>
      <c r="N454" s="324"/>
      <c r="O454" s="324"/>
      <c r="P454" s="324"/>
      <c r="Q454" s="324"/>
      <c r="R454" s="324"/>
      <c r="S454" s="324"/>
      <c r="T454" s="324"/>
      <c r="U454" s="324"/>
      <c r="V454" s="324"/>
      <c r="W454" s="324"/>
      <c r="X454" s="324"/>
      <c r="Y454" s="325"/>
    </row>
    <row r="456" spans="1:25" ht="15.75" thickBot="1" x14ac:dyDescent="0.3">
      <c r="A456" s="326" t="s">
        <v>27</v>
      </c>
      <c r="B456" s="326"/>
      <c r="C456" s="326"/>
      <c r="D456" s="326"/>
      <c r="E456" s="326"/>
      <c r="F456" s="326"/>
      <c r="G456" s="326"/>
      <c r="H456" s="326"/>
    </row>
    <row r="457" spans="1:25" ht="15.75" thickBot="1" x14ac:dyDescent="0.3">
      <c r="A457" s="327" t="s">
        <v>310</v>
      </c>
      <c r="B457" s="328"/>
      <c r="C457" s="328"/>
      <c r="D457" s="328"/>
      <c r="E457" s="328"/>
      <c r="F457" s="328"/>
      <c r="G457" s="328"/>
      <c r="H457" s="328"/>
      <c r="I457" s="328"/>
      <c r="J457" s="328"/>
      <c r="K457" s="328"/>
      <c r="L457" s="328"/>
      <c r="M457" s="328"/>
      <c r="N457" s="328"/>
      <c r="O457" s="328"/>
      <c r="P457" s="328"/>
      <c r="Q457" s="328"/>
      <c r="R457" s="328"/>
      <c r="S457" s="328"/>
      <c r="T457" s="328"/>
      <c r="U457" s="328"/>
      <c r="V457" s="328"/>
      <c r="W457" s="328"/>
      <c r="X457" s="328"/>
      <c r="Y457" s="329"/>
    </row>
    <row r="459" spans="1:25" ht="15.75" thickBot="1" x14ac:dyDescent="0.3">
      <c r="A459" s="326" t="s">
        <v>121</v>
      </c>
      <c r="B459" s="326"/>
      <c r="C459" s="326"/>
      <c r="E459" s="326" t="s">
        <v>122</v>
      </c>
      <c r="F459" s="326"/>
      <c r="G459" s="326"/>
    </row>
    <row r="460" spans="1:25" ht="15.75" thickBot="1" x14ac:dyDescent="0.3">
      <c r="A460" s="330" t="s">
        <v>63</v>
      </c>
      <c r="B460" s="331"/>
      <c r="E460" s="330" t="s">
        <v>66</v>
      </c>
      <c r="F460" s="331"/>
    </row>
    <row r="462" spans="1:25" s="12" customFormat="1" x14ac:dyDescent="0.25"/>
    <row r="464" spans="1:25" ht="19.5" thickBot="1" x14ac:dyDescent="0.35">
      <c r="A464" s="332" t="s">
        <v>84</v>
      </c>
      <c r="B464" s="332"/>
      <c r="C464" s="332"/>
      <c r="D464" s="332"/>
      <c r="E464" s="332"/>
      <c r="F464" s="332"/>
      <c r="H464" s="332" t="s">
        <v>297</v>
      </c>
      <c r="I464" s="332"/>
      <c r="J464" s="332"/>
    </row>
    <row r="465" spans="1:25" x14ac:dyDescent="0.25">
      <c r="A465" s="317" t="s">
        <v>298</v>
      </c>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9"/>
    </row>
    <row r="466" spans="1:25" x14ac:dyDescent="0.25">
      <c r="A466" s="320"/>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2"/>
    </row>
    <row r="467" spans="1:25" x14ac:dyDescent="0.25">
      <c r="A467" s="320"/>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2"/>
    </row>
    <row r="468" spans="1:25" x14ac:dyDescent="0.25">
      <c r="A468" s="320"/>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2"/>
    </row>
    <row r="469" spans="1:25" x14ac:dyDescent="0.25">
      <c r="A469" s="320"/>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2"/>
    </row>
    <row r="470" spans="1:25" x14ac:dyDescent="0.25">
      <c r="A470" s="320"/>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2"/>
    </row>
    <row r="471" spans="1:25" x14ac:dyDescent="0.25">
      <c r="A471" s="320"/>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2"/>
    </row>
    <row r="472" spans="1:25" x14ac:dyDescent="0.25">
      <c r="A472" s="320"/>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2"/>
    </row>
    <row r="473" spans="1:25" x14ac:dyDescent="0.25">
      <c r="A473" s="320"/>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2"/>
    </row>
    <row r="474" spans="1:25" x14ac:dyDescent="0.25">
      <c r="A474" s="320"/>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2"/>
    </row>
    <row r="475" spans="1:25" x14ac:dyDescent="0.25">
      <c r="A475" s="320"/>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2"/>
    </row>
    <row r="476" spans="1:25" x14ac:dyDescent="0.25">
      <c r="A476" s="320"/>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2"/>
    </row>
    <row r="477" spans="1:25" x14ac:dyDescent="0.25">
      <c r="A477" s="320"/>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2"/>
    </row>
    <row r="478" spans="1:25" ht="15.75" thickBot="1" x14ac:dyDescent="0.3">
      <c r="A478" s="323"/>
      <c r="B478" s="324"/>
      <c r="C478" s="324"/>
      <c r="D478" s="324"/>
      <c r="E478" s="324"/>
      <c r="F478" s="324"/>
      <c r="G478" s="324"/>
      <c r="H478" s="324"/>
      <c r="I478" s="324"/>
      <c r="J478" s="324"/>
      <c r="K478" s="324"/>
      <c r="L478" s="324"/>
      <c r="M478" s="324"/>
      <c r="N478" s="324"/>
      <c r="O478" s="324"/>
      <c r="P478" s="324"/>
      <c r="Q478" s="324"/>
      <c r="R478" s="324"/>
      <c r="S478" s="324"/>
      <c r="T478" s="324"/>
      <c r="U478" s="324"/>
      <c r="V478" s="324"/>
      <c r="W478" s="324"/>
      <c r="X478" s="324"/>
      <c r="Y478" s="325"/>
    </row>
    <row r="480" spans="1:25" ht="15.75" thickBot="1" x14ac:dyDescent="0.3">
      <c r="A480" s="326" t="s">
        <v>29</v>
      </c>
      <c r="B480" s="326"/>
      <c r="C480" s="326"/>
      <c r="D480" s="326"/>
    </row>
    <row r="481" spans="1:25" x14ac:dyDescent="0.25">
      <c r="A481" s="317" t="s">
        <v>299</v>
      </c>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pans="1:25" x14ac:dyDescent="0.25">
      <c r="A482" s="320"/>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2"/>
    </row>
    <row r="483" spans="1:25" x14ac:dyDescent="0.25">
      <c r="A483" s="320"/>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2"/>
    </row>
    <row r="484" spans="1:25" x14ac:dyDescent="0.25">
      <c r="A484" s="320"/>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2"/>
    </row>
    <row r="485" spans="1:25" x14ac:dyDescent="0.25">
      <c r="A485" s="320"/>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2"/>
    </row>
    <row r="486" spans="1:25" x14ac:dyDescent="0.25">
      <c r="A486" s="320"/>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2"/>
    </row>
    <row r="487" spans="1:25" ht="15.75" thickBot="1" x14ac:dyDescent="0.3">
      <c r="A487" s="323"/>
      <c r="B487" s="324"/>
      <c r="C487" s="324"/>
      <c r="D487" s="324"/>
      <c r="E487" s="324"/>
      <c r="F487" s="324"/>
      <c r="G487" s="324"/>
      <c r="H487" s="324"/>
      <c r="I487" s="324"/>
      <c r="J487" s="324"/>
      <c r="K487" s="324"/>
      <c r="L487" s="324"/>
      <c r="M487" s="324"/>
      <c r="N487" s="324"/>
      <c r="O487" s="324"/>
      <c r="P487" s="324"/>
      <c r="Q487" s="324"/>
      <c r="R487" s="324"/>
      <c r="S487" s="324"/>
      <c r="T487" s="324"/>
      <c r="U487" s="324"/>
      <c r="V487" s="324"/>
      <c r="W487" s="324"/>
      <c r="X487" s="324"/>
      <c r="Y487" s="325"/>
    </row>
    <row r="489" spans="1:25" ht="15.75" thickBot="1" x14ac:dyDescent="0.3">
      <c r="A489" s="326" t="s">
        <v>27</v>
      </c>
      <c r="B489" s="326"/>
      <c r="C489" s="326"/>
      <c r="D489" s="326"/>
      <c r="E489" s="326"/>
      <c r="F489" s="326"/>
      <c r="G489" s="326"/>
      <c r="H489" s="326"/>
    </row>
    <row r="490" spans="1:25" ht="15.75" thickBot="1" x14ac:dyDescent="0.3">
      <c r="A490" s="327" t="s">
        <v>310</v>
      </c>
      <c r="B490" s="328"/>
      <c r="C490" s="328"/>
      <c r="D490" s="328"/>
      <c r="E490" s="328"/>
      <c r="F490" s="328"/>
      <c r="G490" s="328"/>
      <c r="H490" s="328"/>
      <c r="I490" s="328"/>
      <c r="J490" s="328"/>
      <c r="K490" s="328"/>
      <c r="L490" s="328"/>
      <c r="M490" s="328"/>
      <c r="N490" s="328"/>
      <c r="O490" s="328"/>
      <c r="P490" s="328"/>
      <c r="Q490" s="328"/>
      <c r="R490" s="328"/>
      <c r="S490" s="328"/>
      <c r="T490" s="328"/>
      <c r="U490" s="328"/>
      <c r="V490" s="328"/>
      <c r="W490" s="328"/>
      <c r="X490" s="328"/>
      <c r="Y490" s="329"/>
    </row>
    <row r="492" spans="1:25" ht="15.75" thickBot="1" x14ac:dyDescent="0.3">
      <c r="A492" s="326" t="s">
        <v>121</v>
      </c>
      <c r="B492" s="326"/>
      <c r="C492" s="326"/>
      <c r="E492" s="326" t="s">
        <v>122</v>
      </c>
      <c r="F492" s="326"/>
      <c r="G492" s="326"/>
    </row>
    <row r="493" spans="1:25" ht="15.75" thickBot="1" x14ac:dyDescent="0.3">
      <c r="A493" s="330" t="s">
        <v>63</v>
      </c>
      <c r="B493" s="331"/>
      <c r="E493" s="330" t="s">
        <v>66</v>
      </c>
      <c r="F493" s="331"/>
    </row>
    <row r="495" spans="1:25" s="12" customFormat="1" x14ac:dyDescent="0.25"/>
    <row r="497" spans="1:25" ht="19.5" thickBot="1" x14ac:dyDescent="0.35">
      <c r="A497" s="332" t="s">
        <v>85</v>
      </c>
      <c r="B497" s="332"/>
      <c r="C497" s="332"/>
      <c r="D497" s="332"/>
      <c r="E497" s="332"/>
      <c r="F497" s="332"/>
      <c r="H497" s="332" t="s">
        <v>300</v>
      </c>
      <c r="I497" s="332"/>
      <c r="J497" s="332"/>
    </row>
    <row r="498" spans="1:25" x14ac:dyDescent="0.25">
      <c r="A498" s="317" t="s">
        <v>394</v>
      </c>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9"/>
    </row>
    <row r="499" spans="1:25" x14ac:dyDescent="0.25">
      <c r="A499" s="320"/>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2"/>
    </row>
    <row r="500" spans="1:25" x14ac:dyDescent="0.25">
      <c r="A500" s="320"/>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2"/>
    </row>
    <row r="501" spans="1:25" x14ac:dyDescent="0.25">
      <c r="A501" s="320"/>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2"/>
    </row>
    <row r="502" spans="1:25" x14ac:dyDescent="0.25">
      <c r="A502" s="320"/>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2"/>
    </row>
    <row r="503" spans="1:25" x14ac:dyDescent="0.25">
      <c r="A503" s="320"/>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2"/>
    </row>
    <row r="504" spans="1:25" x14ac:dyDescent="0.25">
      <c r="A504" s="320"/>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2"/>
    </row>
    <row r="505" spans="1:25" x14ac:dyDescent="0.25">
      <c r="A505" s="320"/>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2"/>
    </row>
    <row r="506" spans="1:25" x14ac:dyDescent="0.25">
      <c r="A506" s="320"/>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2"/>
    </row>
    <row r="507" spans="1:25" x14ac:dyDescent="0.25">
      <c r="A507" s="320"/>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2"/>
    </row>
    <row r="508" spans="1:25" x14ac:dyDescent="0.25">
      <c r="A508" s="320"/>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2"/>
    </row>
    <row r="509" spans="1:25" x14ac:dyDescent="0.25">
      <c r="A509" s="320"/>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2"/>
    </row>
    <row r="510" spans="1:25" x14ac:dyDescent="0.25">
      <c r="A510" s="320"/>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2"/>
    </row>
    <row r="511" spans="1:25" ht="15.75" thickBot="1" x14ac:dyDescent="0.3">
      <c r="A511" s="323"/>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25"/>
    </row>
    <row r="513" spans="1:25" ht="15.75" thickBot="1" x14ac:dyDescent="0.3">
      <c r="A513" s="326" t="s">
        <v>29</v>
      </c>
      <c r="B513" s="326"/>
      <c r="C513" s="326"/>
      <c r="D513" s="326"/>
    </row>
    <row r="514" spans="1:25" x14ac:dyDescent="0.25">
      <c r="A514" s="317" t="s">
        <v>301</v>
      </c>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9"/>
    </row>
    <row r="515" spans="1:25" x14ac:dyDescent="0.25">
      <c r="A515" s="320"/>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2"/>
    </row>
    <row r="516" spans="1:25" x14ac:dyDescent="0.25">
      <c r="A516" s="320"/>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2"/>
    </row>
    <row r="517" spans="1:25" x14ac:dyDescent="0.25">
      <c r="A517" s="320"/>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2"/>
    </row>
    <row r="518" spans="1:25" x14ac:dyDescent="0.25">
      <c r="A518" s="320"/>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2"/>
    </row>
    <row r="519" spans="1:25" x14ac:dyDescent="0.25">
      <c r="A519" s="320"/>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2"/>
    </row>
    <row r="520" spans="1:25" ht="15.75" thickBot="1" x14ac:dyDescent="0.3">
      <c r="A520" s="323"/>
      <c r="B520" s="324"/>
      <c r="C520" s="324"/>
      <c r="D520" s="324"/>
      <c r="E520" s="324"/>
      <c r="F520" s="324"/>
      <c r="G520" s="324"/>
      <c r="H520" s="324"/>
      <c r="I520" s="324"/>
      <c r="J520" s="324"/>
      <c r="K520" s="324"/>
      <c r="L520" s="324"/>
      <c r="M520" s="324"/>
      <c r="N520" s="324"/>
      <c r="O520" s="324"/>
      <c r="P520" s="324"/>
      <c r="Q520" s="324"/>
      <c r="R520" s="324"/>
      <c r="S520" s="324"/>
      <c r="T520" s="324"/>
      <c r="U520" s="324"/>
      <c r="V520" s="324"/>
      <c r="W520" s="324"/>
      <c r="X520" s="324"/>
      <c r="Y520" s="325"/>
    </row>
    <row r="522" spans="1:25" ht="15.75" thickBot="1" x14ac:dyDescent="0.3">
      <c r="A522" s="326" t="s">
        <v>27</v>
      </c>
      <c r="B522" s="326"/>
      <c r="C522" s="326"/>
      <c r="D522" s="326"/>
      <c r="E522" s="326"/>
      <c r="F522" s="326"/>
      <c r="G522" s="326"/>
      <c r="H522" s="326"/>
    </row>
    <row r="523" spans="1:25" ht="15.75" thickBot="1" x14ac:dyDescent="0.3">
      <c r="A523" s="327" t="s">
        <v>310</v>
      </c>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9"/>
    </row>
    <row r="525" spans="1:25" ht="15.75" thickBot="1" x14ac:dyDescent="0.3">
      <c r="A525" s="326" t="s">
        <v>121</v>
      </c>
      <c r="B525" s="326"/>
      <c r="C525" s="326"/>
      <c r="E525" s="326" t="s">
        <v>122</v>
      </c>
      <c r="F525" s="326"/>
      <c r="G525" s="326"/>
    </row>
    <row r="526" spans="1:25" ht="15.75" thickBot="1" x14ac:dyDescent="0.3">
      <c r="A526" s="330" t="s">
        <v>63</v>
      </c>
      <c r="B526" s="331"/>
      <c r="E526" s="330" t="s">
        <v>66</v>
      </c>
      <c r="F526" s="331"/>
    </row>
    <row r="528" spans="1:25" s="12" customFormat="1" x14ac:dyDescent="0.25"/>
    <row r="530" spans="1:25" ht="19.5" thickBot="1" x14ac:dyDescent="0.35">
      <c r="A530" s="332" t="s">
        <v>86</v>
      </c>
      <c r="B530" s="332"/>
      <c r="C530" s="332"/>
      <c r="D530" s="332"/>
      <c r="E530" s="332"/>
      <c r="F530" s="332"/>
      <c r="H530" s="332" t="s">
        <v>302</v>
      </c>
      <c r="I530" s="332"/>
      <c r="J530" s="332"/>
    </row>
    <row r="531" spans="1:25" x14ac:dyDescent="0.25">
      <c r="A531" s="317" t="s">
        <v>395</v>
      </c>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9"/>
    </row>
    <row r="532" spans="1:25" x14ac:dyDescent="0.25">
      <c r="A532" s="320"/>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2"/>
    </row>
    <row r="533" spans="1:25" x14ac:dyDescent="0.25">
      <c r="A533" s="320"/>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2"/>
    </row>
    <row r="534" spans="1:25" x14ac:dyDescent="0.25">
      <c r="A534" s="320"/>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2"/>
    </row>
    <row r="535" spans="1:25" x14ac:dyDescent="0.25">
      <c r="A535" s="320"/>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2"/>
    </row>
    <row r="536" spans="1:25" x14ac:dyDescent="0.25">
      <c r="A536" s="320"/>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2"/>
    </row>
    <row r="537" spans="1:25" x14ac:dyDescent="0.25">
      <c r="A537" s="320"/>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2"/>
    </row>
    <row r="538" spans="1:25" x14ac:dyDescent="0.25">
      <c r="A538" s="320"/>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2"/>
    </row>
    <row r="539" spans="1:25" x14ac:dyDescent="0.25">
      <c r="A539" s="320"/>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2"/>
    </row>
    <row r="540" spans="1:25" x14ac:dyDescent="0.25">
      <c r="A540" s="320"/>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2"/>
    </row>
    <row r="541" spans="1:25" x14ac:dyDescent="0.25">
      <c r="A541" s="320"/>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2"/>
    </row>
    <row r="542" spans="1:25" x14ac:dyDescent="0.25">
      <c r="A542" s="320"/>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2"/>
    </row>
    <row r="543" spans="1:25" x14ac:dyDescent="0.25">
      <c r="A543" s="320"/>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2"/>
    </row>
    <row r="544" spans="1:25" ht="15.75" thickBot="1" x14ac:dyDescent="0.3">
      <c r="A544" s="323"/>
      <c r="B544" s="324"/>
      <c r="C544" s="324"/>
      <c r="D544" s="324"/>
      <c r="E544" s="324"/>
      <c r="F544" s="324"/>
      <c r="G544" s="324"/>
      <c r="H544" s="324"/>
      <c r="I544" s="324"/>
      <c r="J544" s="324"/>
      <c r="K544" s="324"/>
      <c r="L544" s="324"/>
      <c r="M544" s="324"/>
      <c r="N544" s="324"/>
      <c r="O544" s="324"/>
      <c r="P544" s="324"/>
      <c r="Q544" s="324"/>
      <c r="R544" s="324"/>
      <c r="S544" s="324"/>
      <c r="T544" s="324"/>
      <c r="U544" s="324"/>
      <c r="V544" s="324"/>
      <c r="W544" s="324"/>
      <c r="X544" s="324"/>
      <c r="Y544" s="325"/>
    </row>
    <row r="546" spans="1:25" ht="15.75" thickBot="1" x14ac:dyDescent="0.3">
      <c r="A546" s="326" t="s">
        <v>29</v>
      </c>
      <c r="B546" s="326"/>
      <c r="C546" s="326"/>
      <c r="D546" s="326"/>
    </row>
    <row r="547" spans="1:25" x14ac:dyDescent="0.25">
      <c r="A547" s="317" t="s">
        <v>396</v>
      </c>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9"/>
    </row>
    <row r="548" spans="1:25" x14ac:dyDescent="0.25">
      <c r="A548" s="320"/>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2"/>
    </row>
    <row r="549" spans="1:25" x14ac:dyDescent="0.25">
      <c r="A549" s="320"/>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2"/>
    </row>
    <row r="550" spans="1:25" x14ac:dyDescent="0.25">
      <c r="A550" s="320"/>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2"/>
    </row>
    <row r="551" spans="1:25" x14ac:dyDescent="0.25">
      <c r="A551" s="320"/>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2"/>
    </row>
    <row r="552" spans="1:25" x14ac:dyDescent="0.25">
      <c r="A552" s="320"/>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2"/>
    </row>
    <row r="553" spans="1:25" ht="15.75" thickBot="1" x14ac:dyDescent="0.3">
      <c r="A553" s="323"/>
      <c r="B553" s="324"/>
      <c r="C553" s="324"/>
      <c r="D553" s="324"/>
      <c r="E553" s="324"/>
      <c r="F553" s="324"/>
      <c r="G553" s="324"/>
      <c r="H553" s="324"/>
      <c r="I553" s="324"/>
      <c r="J553" s="324"/>
      <c r="K553" s="324"/>
      <c r="L553" s="324"/>
      <c r="M553" s="324"/>
      <c r="N553" s="324"/>
      <c r="O553" s="324"/>
      <c r="P553" s="324"/>
      <c r="Q553" s="324"/>
      <c r="R553" s="324"/>
      <c r="S553" s="324"/>
      <c r="T553" s="324"/>
      <c r="U553" s="324"/>
      <c r="V553" s="324"/>
      <c r="W553" s="324"/>
      <c r="X553" s="324"/>
      <c r="Y553" s="325"/>
    </row>
    <row r="555" spans="1:25" ht="15.75" thickBot="1" x14ac:dyDescent="0.3">
      <c r="A555" s="326" t="s">
        <v>27</v>
      </c>
      <c r="B555" s="326"/>
      <c r="C555" s="326"/>
      <c r="D555" s="326"/>
      <c r="E555" s="326"/>
      <c r="F555" s="326"/>
      <c r="G555" s="326"/>
      <c r="H555" s="326"/>
    </row>
    <row r="556" spans="1:25" ht="15.75" thickBot="1" x14ac:dyDescent="0.3">
      <c r="A556" s="327" t="s">
        <v>309</v>
      </c>
      <c r="B556" s="328"/>
      <c r="C556" s="328"/>
      <c r="D556" s="328"/>
      <c r="E556" s="328"/>
      <c r="F556" s="328"/>
      <c r="G556" s="328"/>
      <c r="H556" s="328"/>
      <c r="I556" s="328"/>
      <c r="J556" s="328"/>
      <c r="K556" s="328"/>
      <c r="L556" s="328"/>
      <c r="M556" s="328"/>
      <c r="N556" s="328"/>
      <c r="O556" s="328"/>
      <c r="P556" s="328"/>
      <c r="Q556" s="328"/>
      <c r="R556" s="328"/>
      <c r="S556" s="328"/>
      <c r="T556" s="328"/>
      <c r="U556" s="328"/>
      <c r="V556" s="328"/>
      <c r="W556" s="328"/>
      <c r="X556" s="328"/>
      <c r="Y556" s="329"/>
    </row>
    <row r="558" spans="1:25" ht="15.75" thickBot="1" x14ac:dyDescent="0.3">
      <c r="A558" s="326" t="s">
        <v>121</v>
      </c>
      <c r="B558" s="326"/>
      <c r="C558" s="326"/>
      <c r="E558" s="326" t="s">
        <v>122</v>
      </c>
      <c r="F558" s="326"/>
      <c r="G558" s="326"/>
    </row>
    <row r="559" spans="1:25" ht="15.75" thickBot="1" x14ac:dyDescent="0.3">
      <c r="A559" s="330" t="s">
        <v>63</v>
      </c>
      <c r="B559" s="331"/>
      <c r="E559" s="330" t="s">
        <v>66</v>
      </c>
      <c r="F559" s="331"/>
    </row>
    <row r="561" spans="1:25" s="12" customFormat="1" x14ac:dyDescent="0.25"/>
    <row r="563" spans="1:25" ht="19.5" thickBot="1" x14ac:dyDescent="0.35">
      <c r="A563" s="332" t="s">
        <v>87</v>
      </c>
      <c r="B563" s="332"/>
      <c r="C563" s="332"/>
      <c r="D563" s="332"/>
      <c r="E563" s="332"/>
      <c r="F563" s="332"/>
      <c r="H563" s="332" t="s">
        <v>306</v>
      </c>
      <c r="I563" s="332"/>
      <c r="J563" s="332"/>
    </row>
    <row r="564" spans="1:25" x14ac:dyDescent="0.25">
      <c r="A564" s="317" t="s">
        <v>397</v>
      </c>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9"/>
    </row>
    <row r="565" spans="1:25" x14ac:dyDescent="0.25">
      <c r="A565" s="320"/>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2"/>
    </row>
    <row r="566" spans="1:25" x14ac:dyDescent="0.25">
      <c r="A566" s="320"/>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2"/>
    </row>
    <row r="567" spans="1:25" x14ac:dyDescent="0.25">
      <c r="A567" s="320"/>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2"/>
    </row>
    <row r="568" spans="1:25" x14ac:dyDescent="0.25">
      <c r="A568" s="320"/>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2"/>
    </row>
    <row r="569" spans="1:25" x14ac:dyDescent="0.25">
      <c r="A569" s="320"/>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2"/>
    </row>
    <row r="570" spans="1:25" x14ac:dyDescent="0.25">
      <c r="A570" s="320"/>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2"/>
    </row>
    <row r="571" spans="1:25" x14ac:dyDescent="0.25">
      <c r="A571" s="320"/>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2"/>
    </row>
    <row r="572" spans="1:25" x14ac:dyDescent="0.25">
      <c r="A572" s="320"/>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2"/>
    </row>
    <row r="573" spans="1:25" x14ac:dyDescent="0.25">
      <c r="A573" s="320"/>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2"/>
    </row>
    <row r="574" spans="1:25" x14ac:dyDescent="0.25">
      <c r="A574" s="320"/>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2"/>
    </row>
    <row r="575" spans="1:25" x14ac:dyDescent="0.25">
      <c r="A575" s="320"/>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2"/>
    </row>
    <row r="576" spans="1:25" x14ac:dyDescent="0.25">
      <c r="A576" s="320"/>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2"/>
    </row>
    <row r="577" spans="1:25" ht="15.75" thickBot="1" x14ac:dyDescent="0.3">
      <c r="A577" s="323"/>
      <c r="B577" s="324"/>
      <c r="C577" s="324"/>
      <c r="D577" s="324"/>
      <c r="E577" s="324"/>
      <c r="F577" s="324"/>
      <c r="G577" s="324"/>
      <c r="H577" s="324"/>
      <c r="I577" s="324"/>
      <c r="J577" s="324"/>
      <c r="K577" s="324"/>
      <c r="L577" s="324"/>
      <c r="M577" s="324"/>
      <c r="N577" s="324"/>
      <c r="O577" s="324"/>
      <c r="P577" s="324"/>
      <c r="Q577" s="324"/>
      <c r="R577" s="324"/>
      <c r="S577" s="324"/>
      <c r="T577" s="324"/>
      <c r="U577" s="324"/>
      <c r="V577" s="324"/>
      <c r="W577" s="324"/>
      <c r="X577" s="324"/>
      <c r="Y577" s="325"/>
    </row>
    <row r="579" spans="1:25" ht="15.75" thickBot="1" x14ac:dyDescent="0.3">
      <c r="A579" s="326" t="s">
        <v>29</v>
      </c>
      <c r="B579" s="326"/>
      <c r="C579" s="326"/>
      <c r="D579" s="326"/>
    </row>
    <row r="580" spans="1:25" x14ac:dyDescent="0.25">
      <c r="A580" s="317" t="s">
        <v>307</v>
      </c>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9"/>
    </row>
    <row r="581" spans="1:25" x14ac:dyDescent="0.25">
      <c r="A581" s="320"/>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2"/>
    </row>
    <row r="582" spans="1:25" x14ac:dyDescent="0.25">
      <c r="A582" s="320"/>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2"/>
    </row>
    <row r="583" spans="1:25" x14ac:dyDescent="0.25">
      <c r="A583" s="320"/>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2"/>
    </row>
    <row r="584" spans="1:25" x14ac:dyDescent="0.25">
      <c r="A584" s="320"/>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2"/>
    </row>
    <row r="585" spans="1:25" x14ac:dyDescent="0.25">
      <c r="A585" s="320"/>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2"/>
    </row>
    <row r="586" spans="1:25" ht="15.75" thickBot="1" x14ac:dyDescent="0.3">
      <c r="A586" s="323"/>
      <c r="B586" s="324"/>
      <c r="C586" s="324"/>
      <c r="D586" s="324"/>
      <c r="E586" s="324"/>
      <c r="F586" s="324"/>
      <c r="G586" s="324"/>
      <c r="H586" s="324"/>
      <c r="I586" s="324"/>
      <c r="J586" s="324"/>
      <c r="K586" s="324"/>
      <c r="L586" s="324"/>
      <c r="M586" s="324"/>
      <c r="N586" s="324"/>
      <c r="O586" s="324"/>
      <c r="P586" s="324"/>
      <c r="Q586" s="324"/>
      <c r="R586" s="324"/>
      <c r="S586" s="324"/>
      <c r="T586" s="324"/>
      <c r="U586" s="324"/>
      <c r="V586" s="324"/>
      <c r="W586" s="324"/>
      <c r="X586" s="324"/>
      <c r="Y586" s="325"/>
    </row>
    <row r="588" spans="1:25" ht="15.75" thickBot="1" x14ac:dyDescent="0.3">
      <c r="A588" s="326" t="s">
        <v>27</v>
      </c>
      <c r="B588" s="326"/>
      <c r="C588" s="326"/>
      <c r="D588" s="326"/>
      <c r="E588" s="326"/>
      <c r="F588" s="326"/>
      <c r="G588" s="326"/>
      <c r="H588" s="326"/>
    </row>
    <row r="589" spans="1:25" ht="15.75" thickBot="1" x14ac:dyDescent="0.3">
      <c r="A589" s="327" t="s">
        <v>308</v>
      </c>
      <c r="B589" s="328"/>
      <c r="C589" s="328"/>
      <c r="D589" s="328"/>
      <c r="E589" s="328"/>
      <c r="F589" s="328"/>
      <c r="G589" s="328"/>
      <c r="H589" s="328"/>
      <c r="I589" s="328"/>
      <c r="J589" s="328"/>
      <c r="K589" s="328"/>
      <c r="L589" s="328"/>
      <c r="M589" s="328"/>
      <c r="N589" s="328"/>
      <c r="O589" s="328"/>
      <c r="P589" s="328"/>
      <c r="Q589" s="328"/>
      <c r="R589" s="328"/>
      <c r="S589" s="328"/>
      <c r="T589" s="328"/>
      <c r="U589" s="328"/>
      <c r="V589" s="328"/>
      <c r="W589" s="328"/>
      <c r="X589" s="328"/>
      <c r="Y589" s="329"/>
    </row>
    <row r="591" spans="1:25" ht="15.75" thickBot="1" x14ac:dyDescent="0.3">
      <c r="A591" s="326" t="s">
        <v>121</v>
      </c>
      <c r="B591" s="326"/>
      <c r="C591" s="326"/>
      <c r="E591" s="326" t="s">
        <v>122</v>
      </c>
      <c r="F591" s="326"/>
      <c r="G591" s="326"/>
    </row>
    <row r="592" spans="1:25" ht="15.75" thickBot="1" x14ac:dyDescent="0.3">
      <c r="A592" s="330" t="s">
        <v>63</v>
      </c>
      <c r="B592" s="331"/>
      <c r="E592" s="330" t="s">
        <v>66</v>
      </c>
      <c r="F592" s="331"/>
    </row>
    <row r="594" spans="1:25" s="12" customFormat="1" x14ac:dyDescent="0.25"/>
    <row r="596" spans="1:25" ht="19.5" thickBot="1" x14ac:dyDescent="0.35">
      <c r="A596" s="332" t="s">
        <v>88</v>
      </c>
      <c r="B596" s="332"/>
      <c r="C596" s="332"/>
      <c r="D596" s="332"/>
      <c r="E596" s="332"/>
      <c r="F596" s="332"/>
      <c r="H596" s="332" t="s">
        <v>317</v>
      </c>
      <c r="I596" s="332"/>
      <c r="J596" s="332"/>
    </row>
    <row r="597" spans="1:25" x14ac:dyDescent="0.25">
      <c r="A597" s="317" t="s">
        <v>414</v>
      </c>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9"/>
    </row>
    <row r="598" spans="1:25" x14ac:dyDescent="0.25">
      <c r="A598" s="320"/>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2"/>
    </row>
    <row r="599" spans="1:25" x14ac:dyDescent="0.25">
      <c r="A599" s="320"/>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2"/>
    </row>
    <row r="600" spans="1:25" x14ac:dyDescent="0.25">
      <c r="A600" s="320"/>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2"/>
    </row>
    <row r="601" spans="1:25" x14ac:dyDescent="0.25">
      <c r="A601" s="320"/>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2"/>
    </row>
    <row r="602" spans="1:25" x14ac:dyDescent="0.25">
      <c r="A602" s="320"/>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2"/>
    </row>
    <row r="603" spans="1:25" x14ac:dyDescent="0.25">
      <c r="A603" s="320"/>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2"/>
    </row>
    <row r="604" spans="1:25" x14ac:dyDescent="0.25">
      <c r="A604" s="320"/>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2"/>
    </row>
    <row r="605" spans="1:25" x14ac:dyDescent="0.25">
      <c r="A605" s="320"/>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2"/>
    </row>
    <row r="606" spans="1:25" x14ac:dyDescent="0.25">
      <c r="A606" s="320"/>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2"/>
    </row>
    <row r="607" spans="1:25" x14ac:dyDescent="0.25">
      <c r="A607" s="320"/>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2"/>
    </row>
    <row r="608" spans="1:25" x14ac:dyDescent="0.25">
      <c r="A608" s="320"/>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2"/>
    </row>
    <row r="609" spans="1:25" x14ac:dyDescent="0.25">
      <c r="A609" s="320"/>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2"/>
    </row>
    <row r="610" spans="1:25" ht="15.75" thickBot="1" x14ac:dyDescent="0.3">
      <c r="A610" s="323"/>
      <c r="B610" s="324"/>
      <c r="C610" s="324"/>
      <c r="D610" s="324"/>
      <c r="E610" s="324"/>
      <c r="F610" s="324"/>
      <c r="G610" s="324"/>
      <c r="H610" s="324"/>
      <c r="I610" s="324"/>
      <c r="J610" s="324"/>
      <c r="K610" s="324"/>
      <c r="L610" s="324"/>
      <c r="M610" s="324"/>
      <c r="N610" s="324"/>
      <c r="O610" s="324"/>
      <c r="P610" s="324"/>
      <c r="Q610" s="324"/>
      <c r="R610" s="324"/>
      <c r="S610" s="324"/>
      <c r="T610" s="324"/>
      <c r="U610" s="324"/>
      <c r="V610" s="324"/>
      <c r="W610" s="324"/>
      <c r="X610" s="324"/>
      <c r="Y610" s="325"/>
    </row>
    <row r="612" spans="1:25" ht="15.75" thickBot="1" x14ac:dyDescent="0.3">
      <c r="A612" s="326" t="s">
        <v>29</v>
      </c>
      <c r="B612" s="326"/>
      <c r="C612" s="326"/>
      <c r="D612" s="326"/>
    </row>
    <row r="613" spans="1:25" x14ac:dyDescent="0.25">
      <c r="A613" s="317" t="s">
        <v>318</v>
      </c>
      <c r="B613" s="318"/>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9"/>
    </row>
    <row r="614" spans="1:25" x14ac:dyDescent="0.25">
      <c r="A614" s="320"/>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2"/>
    </row>
    <row r="615" spans="1:25" x14ac:dyDescent="0.25">
      <c r="A615" s="320"/>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2"/>
    </row>
    <row r="616" spans="1:25" x14ac:dyDescent="0.25">
      <c r="A616" s="320"/>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2"/>
    </row>
    <row r="617" spans="1:25" x14ac:dyDescent="0.25">
      <c r="A617" s="320"/>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2"/>
    </row>
    <row r="618" spans="1:25" x14ac:dyDescent="0.25">
      <c r="A618" s="320"/>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2"/>
    </row>
    <row r="619" spans="1:25" ht="15.75" thickBot="1" x14ac:dyDescent="0.3">
      <c r="A619" s="323"/>
      <c r="B619" s="324"/>
      <c r="C619" s="324"/>
      <c r="D619" s="324"/>
      <c r="E619" s="324"/>
      <c r="F619" s="324"/>
      <c r="G619" s="324"/>
      <c r="H619" s="324"/>
      <c r="I619" s="324"/>
      <c r="J619" s="324"/>
      <c r="K619" s="324"/>
      <c r="L619" s="324"/>
      <c r="M619" s="324"/>
      <c r="N619" s="324"/>
      <c r="O619" s="324"/>
      <c r="P619" s="324"/>
      <c r="Q619" s="324"/>
      <c r="R619" s="324"/>
      <c r="S619" s="324"/>
      <c r="T619" s="324"/>
      <c r="U619" s="324"/>
      <c r="V619" s="324"/>
      <c r="W619" s="324"/>
      <c r="X619" s="324"/>
      <c r="Y619" s="325"/>
    </row>
    <row r="621" spans="1:25" ht="15.75" thickBot="1" x14ac:dyDescent="0.3">
      <c r="A621" s="326" t="s">
        <v>27</v>
      </c>
      <c r="B621" s="326"/>
      <c r="C621" s="326"/>
      <c r="D621" s="326"/>
      <c r="E621" s="326"/>
      <c r="F621" s="326"/>
      <c r="G621" s="326"/>
      <c r="H621" s="326"/>
    </row>
    <row r="622" spans="1:25" ht="15.75" thickBot="1" x14ac:dyDescent="0.3">
      <c r="A622" s="327" t="s">
        <v>319</v>
      </c>
      <c r="B622" s="328"/>
      <c r="C622" s="328"/>
      <c r="D622" s="328"/>
      <c r="E622" s="328"/>
      <c r="F622" s="328"/>
      <c r="G622" s="328"/>
      <c r="H622" s="328"/>
      <c r="I622" s="328"/>
      <c r="J622" s="328"/>
      <c r="K622" s="328"/>
      <c r="L622" s="328"/>
      <c r="M622" s="328"/>
      <c r="N622" s="328"/>
      <c r="O622" s="328"/>
      <c r="P622" s="328"/>
      <c r="Q622" s="328"/>
      <c r="R622" s="328"/>
      <c r="S622" s="328"/>
      <c r="T622" s="328"/>
      <c r="U622" s="328"/>
      <c r="V622" s="328"/>
      <c r="W622" s="328"/>
      <c r="X622" s="328"/>
      <c r="Y622" s="329"/>
    </row>
    <row r="624" spans="1:25" ht="15.75" thickBot="1" x14ac:dyDescent="0.3">
      <c r="A624" s="326" t="s">
        <v>121</v>
      </c>
      <c r="B624" s="326"/>
      <c r="C624" s="326"/>
      <c r="E624" s="326" t="s">
        <v>122</v>
      </c>
      <c r="F624" s="326"/>
      <c r="G624" s="326"/>
    </row>
    <row r="625" spans="1:25" ht="15.75" thickBot="1" x14ac:dyDescent="0.3">
      <c r="A625" s="330" t="s">
        <v>64</v>
      </c>
      <c r="B625" s="331"/>
      <c r="E625" s="330" t="s">
        <v>64</v>
      </c>
      <c r="F625" s="331"/>
    </row>
    <row r="627" spans="1:25" s="12" customFormat="1" x14ac:dyDescent="0.25"/>
    <row r="629" spans="1:25" ht="19.5" thickBot="1" x14ac:dyDescent="0.35">
      <c r="A629" s="332" t="s">
        <v>89</v>
      </c>
      <c r="B629" s="332"/>
      <c r="C629" s="332"/>
      <c r="D629" s="332"/>
      <c r="E629" s="332"/>
      <c r="F629" s="332"/>
      <c r="H629" s="332" t="s">
        <v>345</v>
      </c>
      <c r="I629" s="332"/>
      <c r="J629" s="332"/>
    </row>
    <row r="630" spans="1:25" x14ac:dyDescent="0.25">
      <c r="A630" s="317" t="s">
        <v>346</v>
      </c>
      <c r="B630" s="318"/>
      <c r="C630" s="318"/>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319"/>
    </row>
    <row r="631" spans="1:25" x14ac:dyDescent="0.25">
      <c r="A631" s="320"/>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2"/>
    </row>
    <row r="632" spans="1:25" x14ac:dyDescent="0.25">
      <c r="A632" s="320"/>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2"/>
    </row>
    <row r="633" spans="1:25" x14ac:dyDescent="0.25">
      <c r="A633" s="320"/>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2"/>
    </row>
    <row r="634" spans="1:25" x14ac:dyDescent="0.25">
      <c r="A634" s="320"/>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2"/>
    </row>
    <row r="635" spans="1:25" x14ac:dyDescent="0.25">
      <c r="A635" s="320"/>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2"/>
    </row>
    <row r="636" spans="1:25" x14ac:dyDescent="0.25">
      <c r="A636" s="320"/>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2"/>
    </row>
    <row r="637" spans="1:25" x14ac:dyDescent="0.25">
      <c r="A637" s="320"/>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2"/>
    </row>
    <row r="638" spans="1:25" x14ac:dyDescent="0.25">
      <c r="A638" s="320"/>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2"/>
    </row>
    <row r="639" spans="1:25" x14ac:dyDescent="0.25">
      <c r="A639" s="320"/>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2"/>
    </row>
    <row r="640" spans="1:25" x14ac:dyDescent="0.25">
      <c r="A640" s="320"/>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2"/>
    </row>
    <row r="641" spans="1:25" x14ac:dyDescent="0.25">
      <c r="A641" s="320"/>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2"/>
    </row>
    <row r="642" spans="1:25" x14ac:dyDescent="0.25">
      <c r="A642" s="320"/>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2"/>
    </row>
    <row r="643" spans="1:25" ht="15.75" thickBot="1" x14ac:dyDescent="0.3">
      <c r="A643" s="323"/>
      <c r="B643" s="324"/>
      <c r="C643" s="324"/>
      <c r="D643" s="324"/>
      <c r="E643" s="324"/>
      <c r="F643" s="324"/>
      <c r="G643" s="324"/>
      <c r="H643" s="324"/>
      <c r="I643" s="324"/>
      <c r="J643" s="324"/>
      <c r="K643" s="324"/>
      <c r="L643" s="324"/>
      <c r="M643" s="324"/>
      <c r="N643" s="324"/>
      <c r="O643" s="324"/>
      <c r="P643" s="324"/>
      <c r="Q643" s="324"/>
      <c r="R643" s="324"/>
      <c r="S643" s="324"/>
      <c r="T643" s="324"/>
      <c r="U643" s="324"/>
      <c r="V643" s="324"/>
      <c r="W643" s="324"/>
      <c r="X643" s="324"/>
      <c r="Y643" s="325"/>
    </row>
    <row r="645" spans="1:25" ht="15.75" thickBot="1" x14ac:dyDescent="0.3">
      <c r="A645" s="326" t="s">
        <v>29</v>
      </c>
      <c r="B645" s="326"/>
      <c r="C645" s="326"/>
      <c r="D645" s="326"/>
    </row>
    <row r="646" spans="1:25" x14ac:dyDescent="0.25">
      <c r="A646" s="317" t="s">
        <v>347</v>
      </c>
      <c r="B646" s="318"/>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9"/>
    </row>
    <row r="647" spans="1:25" x14ac:dyDescent="0.25">
      <c r="A647" s="320"/>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2"/>
    </row>
    <row r="648" spans="1:25" x14ac:dyDescent="0.25">
      <c r="A648" s="320"/>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2"/>
    </row>
    <row r="649" spans="1:25" x14ac:dyDescent="0.25">
      <c r="A649" s="320"/>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2"/>
    </row>
    <row r="650" spans="1:25" x14ac:dyDescent="0.25">
      <c r="A650" s="320"/>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2"/>
    </row>
    <row r="651" spans="1:25" x14ac:dyDescent="0.25">
      <c r="A651" s="320"/>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2"/>
    </row>
    <row r="652" spans="1:25" ht="15.75" thickBot="1" x14ac:dyDescent="0.3">
      <c r="A652" s="323"/>
      <c r="B652" s="324"/>
      <c r="C652" s="324"/>
      <c r="D652" s="324"/>
      <c r="E652" s="324"/>
      <c r="F652" s="324"/>
      <c r="G652" s="324"/>
      <c r="H652" s="324"/>
      <c r="I652" s="324"/>
      <c r="J652" s="324"/>
      <c r="K652" s="324"/>
      <c r="L652" s="324"/>
      <c r="M652" s="324"/>
      <c r="N652" s="324"/>
      <c r="O652" s="324"/>
      <c r="P652" s="324"/>
      <c r="Q652" s="324"/>
      <c r="R652" s="324"/>
      <c r="S652" s="324"/>
      <c r="T652" s="324"/>
      <c r="U652" s="324"/>
      <c r="V652" s="324"/>
      <c r="W652" s="324"/>
      <c r="X652" s="324"/>
      <c r="Y652" s="325"/>
    </row>
    <row r="654" spans="1:25" ht="15.75" thickBot="1" x14ac:dyDescent="0.3">
      <c r="A654" s="326" t="s">
        <v>27</v>
      </c>
      <c r="B654" s="326"/>
      <c r="C654" s="326"/>
      <c r="D654" s="326"/>
      <c r="E654" s="326"/>
      <c r="F654" s="326"/>
      <c r="G654" s="326"/>
      <c r="H654" s="326"/>
    </row>
    <row r="655" spans="1:25" ht="15.75" thickBot="1" x14ac:dyDescent="0.3">
      <c r="A655" s="327"/>
      <c r="B655" s="328"/>
      <c r="C655" s="328"/>
      <c r="D655" s="328"/>
      <c r="E655" s="328"/>
      <c r="F655" s="328"/>
      <c r="G655" s="328"/>
      <c r="H655" s="328"/>
      <c r="I655" s="328"/>
      <c r="J655" s="328"/>
      <c r="K655" s="328"/>
      <c r="L655" s="328"/>
      <c r="M655" s="328"/>
      <c r="N655" s="328"/>
      <c r="O655" s="328"/>
      <c r="P655" s="328"/>
      <c r="Q655" s="328"/>
      <c r="R655" s="328"/>
      <c r="S655" s="328"/>
      <c r="T655" s="328"/>
      <c r="U655" s="328"/>
      <c r="V655" s="328"/>
      <c r="W655" s="328"/>
      <c r="X655" s="328"/>
      <c r="Y655" s="329"/>
    </row>
    <row r="657" spans="1:25" ht="15.75" thickBot="1" x14ac:dyDescent="0.3">
      <c r="A657" s="326" t="s">
        <v>121</v>
      </c>
      <c r="B657" s="326"/>
      <c r="C657" s="326"/>
      <c r="E657" s="326" t="s">
        <v>122</v>
      </c>
      <c r="F657" s="326"/>
      <c r="G657" s="326"/>
    </row>
    <row r="658" spans="1:25" ht="15.75" thickBot="1" x14ac:dyDescent="0.3">
      <c r="A658" s="330" t="s">
        <v>64</v>
      </c>
      <c r="B658" s="331"/>
      <c r="E658" s="330" t="s">
        <v>64</v>
      </c>
      <c r="F658" s="331"/>
    </row>
    <row r="660" spans="1:25" s="12" customFormat="1" x14ac:dyDescent="0.25"/>
    <row r="662" spans="1:25" ht="19.5" thickBot="1" x14ac:dyDescent="0.35">
      <c r="A662" s="332" t="s">
        <v>90</v>
      </c>
      <c r="B662" s="332"/>
      <c r="C662" s="332"/>
      <c r="D662" s="332"/>
      <c r="E662" s="332"/>
      <c r="F662" s="332"/>
      <c r="H662" s="332" t="s">
        <v>320</v>
      </c>
      <c r="I662" s="332"/>
      <c r="J662" s="332"/>
    </row>
    <row r="663" spans="1:25" x14ac:dyDescent="0.25">
      <c r="A663" s="317" t="s">
        <v>413</v>
      </c>
      <c r="B663" s="318"/>
      <c r="C663" s="318"/>
      <c r="D663" s="318"/>
      <c r="E663" s="318"/>
      <c r="F663" s="318"/>
      <c r="G663" s="318"/>
      <c r="H663" s="318"/>
      <c r="I663" s="318"/>
      <c r="J663" s="318"/>
      <c r="K663" s="318"/>
      <c r="L663" s="318"/>
      <c r="M663" s="318"/>
      <c r="N663" s="318"/>
      <c r="O663" s="318"/>
      <c r="P663" s="318"/>
      <c r="Q663" s="318"/>
      <c r="R663" s="318"/>
      <c r="S663" s="318"/>
      <c r="T663" s="318"/>
      <c r="U663" s="318"/>
      <c r="V663" s="318"/>
      <c r="W663" s="318"/>
      <c r="X663" s="318"/>
      <c r="Y663" s="319"/>
    </row>
    <row r="664" spans="1:25" x14ac:dyDescent="0.25">
      <c r="A664" s="320"/>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2"/>
    </row>
    <row r="665" spans="1:25" x14ac:dyDescent="0.25">
      <c r="A665" s="320"/>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2"/>
    </row>
    <row r="666" spans="1:25" x14ac:dyDescent="0.25">
      <c r="A666" s="320"/>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2"/>
    </row>
    <row r="667" spans="1:25" x14ac:dyDescent="0.25">
      <c r="A667" s="320"/>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2"/>
    </row>
    <row r="668" spans="1:25" x14ac:dyDescent="0.25">
      <c r="A668" s="320"/>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2"/>
    </row>
    <row r="669" spans="1:25" x14ac:dyDescent="0.25">
      <c r="A669" s="320"/>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2"/>
    </row>
    <row r="670" spans="1:25" x14ac:dyDescent="0.25">
      <c r="A670" s="320"/>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2"/>
    </row>
    <row r="671" spans="1:25" x14ac:dyDescent="0.25">
      <c r="A671" s="320"/>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2"/>
    </row>
    <row r="672" spans="1:25" x14ac:dyDescent="0.25">
      <c r="A672" s="320"/>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2"/>
    </row>
    <row r="673" spans="1:25" x14ac:dyDescent="0.25">
      <c r="A673" s="320"/>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2"/>
    </row>
    <row r="674" spans="1:25" x14ac:dyDescent="0.25">
      <c r="A674" s="320"/>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2"/>
    </row>
    <row r="675" spans="1:25" x14ac:dyDescent="0.25">
      <c r="A675" s="320"/>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2"/>
    </row>
    <row r="676" spans="1:25" ht="15.75" thickBot="1" x14ac:dyDescent="0.3">
      <c r="A676" s="323"/>
      <c r="B676" s="324"/>
      <c r="C676" s="324"/>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5"/>
    </row>
    <row r="678" spans="1:25" ht="15.75" thickBot="1" x14ac:dyDescent="0.3">
      <c r="A678" s="326" t="s">
        <v>29</v>
      </c>
      <c r="B678" s="326"/>
      <c r="C678" s="326"/>
      <c r="D678" s="326"/>
    </row>
    <row r="679" spans="1:25" x14ac:dyDescent="0.25">
      <c r="A679" s="317" t="s">
        <v>398</v>
      </c>
      <c r="B679" s="318"/>
      <c r="C679" s="318"/>
      <c r="D679" s="318"/>
      <c r="E679" s="318"/>
      <c r="F679" s="318"/>
      <c r="G679" s="318"/>
      <c r="H679" s="318"/>
      <c r="I679" s="318"/>
      <c r="J679" s="318"/>
      <c r="K679" s="318"/>
      <c r="L679" s="318"/>
      <c r="M679" s="318"/>
      <c r="N679" s="318"/>
      <c r="O679" s="318"/>
      <c r="P679" s="318"/>
      <c r="Q679" s="318"/>
      <c r="R679" s="318"/>
      <c r="S679" s="318"/>
      <c r="T679" s="318"/>
      <c r="U679" s="318"/>
      <c r="V679" s="318"/>
      <c r="W679" s="318"/>
      <c r="X679" s="318"/>
      <c r="Y679" s="319"/>
    </row>
    <row r="680" spans="1:25" x14ac:dyDescent="0.25">
      <c r="A680" s="320"/>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2"/>
    </row>
    <row r="681" spans="1:25" x14ac:dyDescent="0.25">
      <c r="A681" s="320"/>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2"/>
    </row>
    <row r="682" spans="1:25" x14ac:dyDescent="0.25">
      <c r="A682" s="320"/>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2"/>
    </row>
    <row r="683" spans="1:25" x14ac:dyDescent="0.25">
      <c r="A683" s="320"/>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2"/>
    </row>
    <row r="684" spans="1:25" x14ac:dyDescent="0.25">
      <c r="A684" s="320"/>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2"/>
    </row>
    <row r="685" spans="1:25" ht="15.75" thickBot="1" x14ac:dyDescent="0.3">
      <c r="A685" s="323"/>
      <c r="B685" s="324"/>
      <c r="C685" s="324"/>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5"/>
    </row>
    <row r="687" spans="1:25" ht="15.75" thickBot="1" x14ac:dyDescent="0.3">
      <c r="A687" s="326" t="s">
        <v>27</v>
      </c>
      <c r="B687" s="326"/>
      <c r="C687" s="326"/>
      <c r="D687" s="326"/>
      <c r="E687" s="326"/>
      <c r="F687" s="326"/>
      <c r="G687" s="326"/>
      <c r="H687" s="326"/>
    </row>
    <row r="688" spans="1:25" ht="15.75" thickBot="1" x14ac:dyDescent="0.3">
      <c r="A688" s="327" t="s">
        <v>272</v>
      </c>
      <c r="B688" s="328"/>
      <c r="C688" s="328"/>
      <c r="D688" s="328"/>
      <c r="E688" s="328"/>
      <c r="F688" s="328"/>
      <c r="G688" s="328"/>
      <c r="H688" s="328"/>
      <c r="I688" s="328"/>
      <c r="J688" s="328"/>
      <c r="K688" s="328"/>
      <c r="L688" s="328"/>
      <c r="M688" s="328"/>
      <c r="N688" s="328"/>
      <c r="O688" s="328"/>
      <c r="P688" s="328"/>
      <c r="Q688" s="328"/>
      <c r="R688" s="328"/>
      <c r="S688" s="328"/>
      <c r="T688" s="328"/>
      <c r="U688" s="328"/>
      <c r="V688" s="328"/>
      <c r="W688" s="328"/>
      <c r="X688" s="328"/>
      <c r="Y688" s="329"/>
    </row>
    <row r="690" spans="1:25" ht="15.75" thickBot="1" x14ac:dyDescent="0.3">
      <c r="A690" s="326" t="s">
        <v>121</v>
      </c>
      <c r="B690" s="326"/>
      <c r="C690" s="326"/>
      <c r="E690" s="326" t="s">
        <v>122</v>
      </c>
      <c r="F690" s="326"/>
      <c r="G690" s="326"/>
    </row>
    <row r="691" spans="1:25" ht="15.75" thickBot="1" x14ac:dyDescent="0.3">
      <c r="A691" s="330" t="s">
        <v>63</v>
      </c>
      <c r="B691" s="331"/>
      <c r="E691" s="330" t="s">
        <v>66</v>
      </c>
      <c r="F691" s="331"/>
    </row>
    <row r="693" spans="1:25" s="12" customFormat="1" x14ac:dyDescent="0.25"/>
    <row r="695" spans="1:25" ht="19.5" thickBot="1" x14ac:dyDescent="0.35">
      <c r="A695" s="332" t="s">
        <v>91</v>
      </c>
      <c r="B695" s="332"/>
      <c r="C695" s="332"/>
      <c r="D695" s="332"/>
      <c r="E695" s="332"/>
      <c r="F695" s="332"/>
      <c r="H695" s="332" t="s">
        <v>415</v>
      </c>
      <c r="I695" s="332"/>
      <c r="J695" s="332"/>
    </row>
    <row r="696" spans="1:25" x14ac:dyDescent="0.25">
      <c r="A696" s="317" t="s">
        <v>355</v>
      </c>
      <c r="B696" s="318"/>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319"/>
    </row>
    <row r="697" spans="1:25" x14ac:dyDescent="0.25">
      <c r="A697" s="320"/>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2"/>
    </row>
    <row r="698" spans="1:25" x14ac:dyDescent="0.25">
      <c r="A698" s="320"/>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2"/>
    </row>
    <row r="699" spans="1:25" x14ac:dyDescent="0.25">
      <c r="A699" s="320"/>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2"/>
    </row>
    <row r="700" spans="1:25" x14ac:dyDescent="0.25">
      <c r="A700" s="320"/>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2"/>
    </row>
    <row r="701" spans="1:25" x14ac:dyDescent="0.25">
      <c r="A701" s="320"/>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2"/>
    </row>
    <row r="702" spans="1:25" x14ac:dyDescent="0.25">
      <c r="A702" s="320"/>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2"/>
    </row>
    <row r="703" spans="1:25" x14ac:dyDescent="0.25">
      <c r="A703" s="320"/>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2"/>
    </row>
    <row r="704" spans="1:25" x14ac:dyDescent="0.25">
      <c r="A704" s="320"/>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2"/>
    </row>
    <row r="705" spans="1:25" x14ac:dyDescent="0.25">
      <c r="A705" s="320"/>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2"/>
    </row>
    <row r="706" spans="1:25" x14ac:dyDescent="0.25">
      <c r="A706" s="320"/>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2"/>
    </row>
    <row r="707" spans="1:25" x14ac:dyDescent="0.25">
      <c r="A707" s="320"/>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2"/>
    </row>
    <row r="708" spans="1:25" x14ac:dyDescent="0.25">
      <c r="A708" s="320"/>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2"/>
    </row>
    <row r="709" spans="1:25" ht="15.75" thickBot="1" x14ac:dyDescent="0.3">
      <c r="A709" s="323"/>
      <c r="B709" s="324"/>
      <c r="C709" s="324"/>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5"/>
    </row>
    <row r="711" spans="1:25" ht="15.75" thickBot="1" x14ac:dyDescent="0.3">
      <c r="A711" s="326" t="s">
        <v>29</v>
      </c>
      <c r="B711" s="326"/>
      <c r="C711" s="326"/>
      <c r="D711" s="326"/>
    </row>
    <row r="712" spans="1:25" x14ac:dyDescent="0.25">
      <c r="A712" s="317" t="s">
        <v>356</v>
      </c>
      <c r="B712" s="318"/>
      <c r="C712" s="318"/>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9"/>
    </row>
    <row r="713" spans="1:25" x14ac:dyDescent="0.25">
      <c r="A713" s="320"/>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2"/>
    </row>
    <row r="714" spans="1:25" x14ac:dyDescent="0.25">
      <c r="A714" s="320"/>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2"/>
    </row>
    <row r="715" spans="1:25" x14ac:dyDescent="0.25">
      <c r="A715" s="320"/>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2"/>
    </row>
    <row r="716" spans="1:25" x14ac:dyDescent="0.25">
      <c r="A716" s="320"/>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2"/>
    </row>
    <row r="717" spans="1:25" x14ac:dyDescent="0.25">
      <c r="A717" s="320"/>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2"/>
    </row>
    <row r="718" spans="1:25" ht="15.75" thickBot="1" x14ac:dyDescent="0.3">
      <c r="A718" s="323"/>
      <c r="B718" s="324"/>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5"/>
    </row>
    <row r="720" spans="1:25" ht="15.75" thickBot="1" x14ac:dyDescent="0.3">
      <c r="A720" s="326" t="s">
        <v>27</v>
      </c>
      <c r="B720" s="326"/>
      <c r="C720" s="326"/>
      <c r="D720" s="326"/>
      <c r="E720" s="326"/>
      <c r="F720" s="326"/>
      <c r="G720" s="326"/>
      <c r="H720" s="326"/>
    </row>
    <row r="721" spans="1:25" ht="15.75" thickBot="1" x14ac:dyDescent="0.3">
      <c r="A721" s="327" t="s">
        <v>262</v>
      </c>
      <c r="B721" s="328"/>
      <c r="C721" s="328"/>
      <c r="D721" s="328"/>
      <c r="E721" s="328"/>
      <c r="F721" s="328"/>
      <c r="G721" s="328"/>
      <c r="H721" s="328"/>
      <c r="I721" s="328"/>
      <c r="J721" s="328"/>
      <c r="K721" s="328"/>
      <c r="L721" s="328"/>
      <c r="M721" s="328"/>
      <c r="N721" s="328"/>
      <c r="O721" s="328"/>
      <c r="P721" s="328"/>
      <c r="Q721" s="328"/>
      <c r="R721" s="328"/>
      <c r="S721" s="328"/>
      <c r="T721" s="328"/>
      <c r="U721" s="328"/>
      <c r="V721" s="328"/>
      <c r="W721" s="328"/>
      <c r="X721" s="328"/>
      <c r="Y721" s="329"/>
    </row>
    <row r="723" spans="1:25" ht="15.75" thickBot="1" x14ac:dyDescent="0.3">
      <c r="A723" s="326" t="s">
        <v>121</v>
      </c>
      <c r="B723" s="326"/>
      <c r="C723" s="326"/>
      <c r="E723" s="326" t="s">
        <v>122</v>
      </c>
      <c r="F723" s="326"/>
      <c r="G723" s="326"/>
    </row>
    <row r="724" spans="1:25" ht="15.75" thickBot="1" x14ac:dyDescent="0.3">
      <c r="A724" s="330" t="s">
        <v>64</v>
      </c>
      <c r="B724" s="331"/>
      <c r="E724" s="330" t="s">
        <v>66</v>
      </c>
      <c r="F724" s="331"/>
    </row>
    <row r="726" spans="1:25" s="12" customFormat="1" x14ac:dyDescent="0.25"/>
    <row r="728" spans="1:25" ht="19.5" thickBot="1" x14ac:dyDescent="0.35">
      <c r="A728" s="332" t="s">
        <v>92</v>
      </c>
      <c r="B728" s="332"/>
      <c r="C728" s="332"/>
      <c r="D728" s="332"/>
      <c r="E728" s="332"/>
      <c r="F728" s="332"/>
      <c r="H728" s="332" t="s">
        <v>418</v>
      </c>
      <c r="I728" s="332"/>
      <c r="J728" s="332"/>
    </row>
    <row r="729" spans="1:25" x14ac:dyDescent="0.25">
      <c r="A729" s="317" t="s">
        <v>399</v>
      </c>
      <c r="B729" s="318"/>
      <c r="C729" s="318"/>
      <c r="D729" s="318"/>
      <c r="E729" s="318"/>
      <c r="F729" s="318"/>
      <c r="G729" s="318"/>
      <c r="H729" s="318"/>
      <c r="I729" s="318"/>
      <c r="J729" s="318"/>
      <c r="K729" s="318"/>
      <c r="L729" s="318"/>
      <c r="M729" s="318"/>
      <c r="N729" s="318"/>
      <c r="O729" s="318"/>
      <c r="P729" s="318"/>
      <c r="Q729" s="318"/>
      <c r="R729" s="318"/>
      <c r="S729" s="318"/>
      <c r="T729" s="318"/>
      <c r="U729" s="318"/>
      <c r="V729" s="318"/>
      <c r="W729" s="318"/>
      <c r="X729" s="318"/>
      <c r="Y729" s="319"/>
    </row>
    <row r="730" spans="1:25" x14ac:dyDescent="0.25">
      <c r="A730" s="320"/>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2"/>
    </row>
    <row r="731" spans="1:25" x14ac:dyDescent="0.25">
      <c r="A731" s="320"/>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2"/>
    </row>
    <row r="732" spans="1:25" x14ac:dyDescent="0.25">
      <c r="A732" s="320"/>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2"/>
    </row>
    <row r="733" spans="1:25" x14ac:dyDescent="0.25">
      <c r="A733" s="320"/>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2"/>
    </row>
    <row r="734" spans="1:25" x14ac:dyDescent="0.25">
      <c r="A734" s="320"/>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2"/>
    </row>
    <row r="735" spans="1:25" x14ac:dyDescent="0.25">
      <c r="A735" s="320"/>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2"/>
    </row>
    <row r="736" spans="1:25" x14ac:dyDescent="0.25">
      <c r="A736" s="320"/>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2"/>
    </row>
    <row r="737" spans="1:25" x14ac:dyDescent="0.25">
      <c r="A737" s="320"/>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2"/>
    </row>
    <row r="738" spans="1:25" x14ac:dyDescent="0.25">
      <c r="A738" s="320"/>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2"/>
    </row>
    <row r="739" spans="1:25" x14ac:dyDescent="0.25">
      <c r="A739" s="320"/>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2"/>
    </row>
    <row r="740" spans="1:25" x14ac:dyDescent="0.25">
      <c r="A740" s="320"/>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2"/>
    </row>
    <row r="741" spans="1:25" x14ac:dyDescent="0.25">
      <c r="A741" s="320"/>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2"/>
    </row>
    <row r="742" spans="1:25" ht="15.75" thickBot="1" x14ac:dyDescent="0.3">
      <c r="A742" s="323"/>
      <c r="B742" s="324"/>
      <c r="C742" s="324"/>
      <c r="D742" s="324"/>
      <c r="E742" s="324"/>
      <c r="F742" s="324"/>
      <c r="G742" s="324"/>
      <c r="H742" s="324"/>
      <c r="I742" s="324"/>
      <c r="J742" s="324"/>
      <c r="K742" s="324"/>
      <c r="L742" s="324"/>
      <c r="M742" s="324"/>
      <c r="N742" s="324"/>
      <c r="O742" s="324"/>
      <c r="P742" s="324"/>
      <c r="Q742" s="324"/>
      <c r="R742" s="324"/>
      <c r="S742" s="324"/>
      <c r="T742" s="324"/>
      <c r="U742" s="324"/>
      <c r="V742" s="324"/>
      <c r="W742" s="324"/>
      <c r="X742" s="324"/>
      <c r="Y742" s="325"/>
    </row>
    <row r="744" spans="1:25" ht="15.75" thickBot="1" x14ac:dyDescent="0.3">
      <c r="A744" s="326" t="s">
        <v>29</v>
      </c>
      <c r="B744" s="326"/>
      <c r="C744" s="326"/>
      <c r="D744" s="326"/>
    </row>
    <row r="745" spans="1:25" x14ac:dyDescent="0.25">
      <c r="A745" s="317" t="s">
        <v>357</v>
      </c>
      <c r="B745" s="318"/>
      <c r="C745" s="318"/>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9"/>
    </row>
    <row r="746" spans="1:25" x14ac:dyDescent="0.25">
      <c r="A746" s="320"/>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2"/>
    </row>
    <row r="747" spans="1:25" x14ac:dyDescent="0.25">
      <c r="A747" s="320"/>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2"/>
    </row>
    <row r="748" spans="1:25" x14ac:dyDescent="0.25">
      <c r="A748" s="320"/>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2"/>
    </row>
    <row r="749" spans="1:25" x14ac:dyDescent="0.25">
      <c r="A749" s="320"/>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2"/>
    </row>
    <row r="750" spans="1:25" x14ac:dyDescent="0.25">
      <c r="A750" s="320"/>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2"/>
    </row>
    <row r="751" spans="1:25" ht="15.75" thickBot="1" x14ac:dyDescent="0.3">
      <c r="A751" s="323"/>
      <c r="B751" s="324"/>
      <c r="C751" s="324"/>
      <c r="D751" s="324"/>
      <c r="E751" s="324"/>
      <c r="F751" s="324"/>
      <c r="G751" s="324"/>
      <c r="H751" s="324"/>
      <c r="I751" s="324"/>
      <c r="J751" s="324"/>
      <c r="K751" s="324"/>
      <c r="L751" s="324"/>
      <c r="M751" s="324"/>
      <c r="N751" s="324"/>
      <c r="O751" s="324"/>
      <c r="P751" s="324"/>
      <c r="Q751" s="324"/>
      <c r="R751" s="324"/>
      <c r="S751" s="324"/>
      <c r="T751" s="324"/>
      <c r="U751" s="324"/>
      <c r="V751" s="324"/>
      <c r="W751" s="324"/>
      <c r="X751" s="324"/>
      <c r="Y751" s="325"/>
    </row>
    <row r="753" spans="1:25" ht="15.75" thickBot="1" x14ac:dyDescent="0.3">
      <c r="A753" s="326" t="s">
        <v>27</v>
      </c>
      <c r="B753" s="326"/>
      <c r="C753" s="326"/>
      <c r="D753" s="326"/>
      <c r="E753" s="326"/>
      <c r="F753" s="326"/>
      <c r="G753" s="326"/>
      <c r="H753" s="326"/>
    </row>
    <row r="754" spans="1:25" ht="15.75" thickBot="1" x14ac:dyDescent="0.3">
      <c r="A754" s="327" t="s">
        <v>262</v>
      </c>
      <c r="B754" s="328"/>
      <c r="C754" s="328"/>
      <c r="D754" s="328"/>
      <c r="E754" s="328"/>
      <c r="F754" s="328"/>
      <c r="G754" s="328"/>
      <c r="H754" s="328"/>
      <c r="I754" s="328"/>
      <c r="J754" s="328"/>
      <c r="K754" s="328"/>
      <c r="L754" s="328"/>
      <c r="M754" s="328"/>
      <c r="N754" s="328"/>
      <c r="O754" s="328"/>
      <c r="P754" s="328"/>
      <c r="Q754" s="328"/>
      <c r="R754" s="328"/>
      <c r="S754" s="328"/>
      <c r="T754" s="328"/>
      <c r="U754" s="328"/>
      <c r="V754" s="328"/>
      <c r="W754" s="328"/>
      <c r="X754" s="328"/>
      <c r="Y754" s="329"/>
    </row>
    <row r="756" spans="1:25" ht="15.75" thickBot="1" x14ac:dyDescent="0.3">
      <c r="A756" s="326" t="s">
        <v>121</v>
      </c>
      <c r="B756" s="326"/>
      <c r="C756" s="326"/>
      <c r="E756" s="326" t="s">
        <v>122</v>
      </c>
      <c r="F756" s="326"/>
      <c r="G756" s="326"/>
    </row>
    <row r="757" spans="1:25" ht="15.75" thickBot="1" x14ac:dyDescent="0.3">
      <c r="A757" s="330" t="s">
        <v>65</v>
      </c>
      <c r="B757" s="331"/>
      <c r="E757" s="330" t="s">
        <v>65</v>
      </c>
      <c r="F757" s="331"/>
    </row>
    <row r="759" spans="1:25" s="12" customFormat="1" x14ac:dyDescent="0.25"/>
    <row r="761" spans="1:25" ht="19.5" thickBot="1" x14ac:dyDescent="0.35">
      <c r="A761" s="332" t="s">
        <v>93</v>
      </c>
      <c r="B761" s="332"/>
      <c r="C761" s="332"/>
      <c r="D761" s="332"/>
      <c r="E761" s="332"/>
      <c r="F761" s="332"/>
      <c r="H761" s="332" t="s">
        <v>419</v>
      </c>
      <c r="I761" s="332"/>
      <c r="J761" s="332"/>
    </row>
    <row r="762" spans="1:25" x14ac:dyDescent="0.25">
      <c r="A762" s="317" t="s">
        <v>358</v>
      </c>
      <c r="B762" s="318"/>
      <c r="C762" s="318"/>
      <c r="D762" s="318"/>
      <c r="E762" s="318"/>
      <c r="F762" s="318"/>
      <c r="G762" s="318"/>
      <c r="H762" s="318"/>
      <c r="I762" s="318"/>
      <c r="J762" s="318"/>
      <c r="K762" s="318"/>
      <c r="L762" s="318"/>
      <c r="M762" s="318"/>
      <c r="N762" s="318"/>
      <c r="O762" s="318"/>
      <c r="P762" s="318"/>
      <c r="Q762" s="318"/>
      <c r="R762" s="318"/>
      <c r="S762" s="318"/>
      <c r="T762" s="318"/>
      <c r="U762" s="318"/>
      <c r="V762" s="318"/>
      <c r="W762" s="318"/>
      <c r="X762" s="318"/>
      <c r="Y762" s="319"/>
    </row>
    <row r="763" spans="1:25" x14ac:dyDescent="0.25">
      <c r="A763" s="320"/>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2"/>
    </row>
    <row r="764" spans="1:25" x14ac:dyDescent="0.25">
      <c r="A764" s="320"/>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2"/>
    </row>
    <row r="765" spans="1:25" x14ac:dyDescent="0.25">
      <c r="A765" s="320"/>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2"/>
    </row>
    <row r="766" spans="1:25" x14ac:dyDescent="0.25">
      <c r="A766" s="320"/>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2"/>
    </row>
    <row r="767" spans="1:25" x14ac:dyDescent="0.25">
      <c r="A767" s="320"/>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2"/>
    </row>
    <row r="768" spans="1:25" x14ac:dyDescent="0.25">
      <c r="A768" s="320"/>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2"/>
    </row>
    <row r="769" spans="1:25" x14ac:dyDescent="0.25">
      <c r="A769" s="320"/>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2"/>
    </row>
    <row r="770" spans="1:25" x14ac:dyDescent="0.25">
      <c r="A770" s="320"/>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2"/>
    </row>
    <row r="771" spans="1:25" x14ac:dyDescent="0.25">
      <c r="A771" s="320"/>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2"/>
    </row>
    <row r="772" spans="1:25" x14ac:dyDescent="0.25">
      <c r="A772" s="320"/>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2"/>
    </row>
    <row r="773" spans="1:25" x14ac:dyDescent="0.25">
      <c r="A773" s="320"/>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2"/>
    </row>
    <row r="774" spans="1:25" x14ac:dyDescent="0.25">
      <c r="A774" s="320"/>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2"/>
    </row>
    <row r="775" spans="1:25" ht="15.75" thickBot="1" x14ac:dyDescent="0.3">
      <c r="A775" s="323"/>
      <c r="B775" s="324"/>
      <c r="C775" s="324"/>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5"/>
    </row>
    <row r="777" spans="1:25" ht="15.75" thickBot="1" x14ac:dyDescent="0.3">
      <c r="A777" s="326" t="s">
        <v>29</v>
      </c>
      <c r="B777" s="326"/>
      <c r="C777" s="326"/>
      <c r="D777" s="326"/>
    </row>
    <row r="778" spans="1:25" x14ac:dyDescent="0.25">
      <c r="A778" s="317" t="s">
        <v>359</v>
      </c>
      <c r="B778" s="318"/>
      <c r="C778" s="318"/>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319"/>
    </row>
    <row r="779" spans="1:25" x14ac:dyDescent="0.25">
      <c r="A779" s="320"/>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2"/>
    </row>
    <row r="780" spans="1:25" x14ac:dyDescent="0.25">
      <c r="A780" s="320"/>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2"/>
    </row>
    <row r="781" spans="1:25" x14ac:dyDescent="0.25">
      <c r="A781" s="320"/>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2"/>
    </row>
    <row r="782" spans="1:25" x14ac:dyDescent="0.25">
      <c r="A782" s="320"/>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2"/>
    </row>
    <row r="783" spans="1:25" x14ac:dyDescent="0.25">
      <c r="A783" s="320"/>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2"/>
    </row>
    <row r="784" spans="1:25" ht="15.75" thickBot="1" x14ac:dyDescent="0.3">
      <c r="A784" s="323"/>
      <c r="B784" s="324"/>
      <c r="C784" s="324"/>
      <c r="D784" s="324"/>
      <c r="E784" s="324"/>
      <c r="F784" s="324"/>
      <c r="G784" s="324"/>
      <c r="H784" s="324"/>
      <c r="I784" s="324"/>
      <c r="J784" s="324"/>
      <c r="K784" s="324"/>
      <c r="L784" s="324"/>
      <c r="M784" s="324"/>
      <c r="N784" s="324"/>
      <c r="O784" s="324"/>
      <c r="P784" s="324"/>
      <c r="Q784" s="324"/>
      <c r="R784" s="324"/>
      <c r="S784" s="324"/>
      <c r="T784" s="324"/>
      <c r="U784" s="324"/>
      <c r="V784" s="324"/>
      <c r="W784" s="324"/>
      <c r="X784" s="324"/>
      <c r="Y784" s="325"/>
    </row>
    <row r="786" spans="1:25" ht="15.75" thickBot="1" x14ac:dyDescent="0.3">
      <c r="A786" s="326" t="s">
        <v>27</v>
      </c>
      <c r="B786" s="326"/>
      <c r="C786" s="326"/>
      <c r="D786" s="326"/>
      <c r="E786" s="326"/>
      <c r="F786" s="326"/>
      <c r="G786" s="326"/>
      <c r="H786" s="326"/>
    </row>
    <row r="787" spans="1:25" ht="15.75" thickBot="1" x14ac:dyDescent="0.3">
      <c r="A787" s="327" t="s">
        <v>262</v>
      </c>
      <c r="B787" s="328"/>
      <c r="C787" s="328"/>
      <c r="D787" s="328"/>
      <c r="E787" s="328"/>
      <c r="F787" s="328"/>
      <c r="G787" s="328"/>
      <c r="H787" s="328"/>
      <c r="I787" s="328"/>
      <c r="J787" s="328"/>
      <c r="K787" s="328"/>
      <c r="L787" s="328"/>
      <c r="M787" s="328"/>
      <c r="N787" s="328"/>
      <c r="O787" s="328"/>
      <c r="P787" s="328"/>
      <c r="Q787" s="328"/>
      <c r="R787" s="328"/>
      <c r="S787" s="328"/>
      <c r="T787" s="328"/>
      <c r="U787" s="328"/>
      <c r="V787" s="328"/>
      <c r="W787" s="328"/>
      <c r="X787" s="328"/>
      <c r="Y787" s="329"/>
    </row>
    <row r="789" spans="1:25" ht="15.75" thickBot="1" x14ac:dyDescent="0.3">
      <c r="A789" s="326" t="s">
        <v>121</v>
      </c>
      <c r="B789" s="326"/>
      <c r="C789" s="326"/>
      <c r="E789" s="326" t="s">
        <v>122</v>
      </c>
      <c r="F789" s="326"/>
      <c r="G789" s="326"/>
    </row>
    <row r="790" spans="1:25" ht="15.75" thickBot="1" x14ac:dyDescent="0.3">
      <c r="A790" s="330" t="s">
        <v>63</v>
      </c>
      <c r="B790" s="331"/>
      <c r="E790" s="330" t="s">
        <v>63</v>
      </c>
      <c r="F790" s="331"/>
    </row>
    <row r="792" spans="1:25" s="12" customFormat="1" x14ac:dyDescent="0.25"/>
    <row r="794" spans="1:25" ht="19.5" thickBot="1" x14ac:dyDescent="0.35">
      <c r="A794" s="332" t="s">
        <v>94</v>
      </c>
      <c r="B794" s="332"/>
      <c r="C794" s="332"/>
      <c r="D794" s="332"/>
      <c r="E794" s="332"/>
      <c r="F794" s="332"/>
      <c r="H794" s="332" t="s">
        <v>420</v>
      </c>
      <c r="I794" s="332"/>
      <c r="J794" s="332"/>
    </row>
    <row r="795" spans="1:25" x14ac:dyDescent="0.25">
      <c r="A795" s="317" t="s">
        <v>408</v>
      </c>
      <c r="B795" s="318"/>
      <c r="C795" s="318"/>
      <c r="D795" s="318"/>
      <c r="E795" s="318"/>
      <c r="F795" s="318"/>
      <c r="G795" s="318"/>
      <c r="H795" s="318"/>
      <c r="I795" s="318"/>
      <c r="J795" s="318"/>
      <c r="K795" s="318"/>
      <c r="L795" s="318"/>
      <c r="M795" s="318"/>
      <c r="N795" s="318"/>
      <c r="O795" s="318"/>
      <c r="P795" s="318"/>
      <c r="Q795" s="318"/>
      <c r="R795" s="318"/>
      <c r="S795" s="318"/>
      <c r="T795" s="318"/>
      <c r="U795" s="318"/>
      <c r="V795" s="318"/>
      <c r="W795" s="318"/>
      <c r="X795" s="318"/>
      <c r="Y795" s="319"/>
    </row>
    <row r="796" spans="1:25" x14ac:dyDescent="0.25">
      <c r="A796" s="320"/>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2"/>
    </row>
    <row r="797" spans="1:25" x14ac:dyDescent="0.25">
      <c r="A797" s="320"/>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2"/>
    </row>
    <row r="798" spans="1:25" x14ac:dyDescent="0.25">
      <c r="A798" s="320"/>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2"/>
    </row>
    <row r="799" spans="1:25" x14ac:dyDescent="0.25">
      <c r="A799" s="320"/>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2"/>
    </row>
    <row r="800" spans="1:25" x14ac:dyDescent="0.25">
      <c r="A800" s="320"/>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2"/>
    </row>
    <row r="801" spans="1:25" x14ac:dyDescent="0.25">
      <c r="A801" s="320"/>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2"/>
    </row>
    <row r="802" spans="1:25" x14ac:dyDescent="0.25">
      <c r="A802" s="320"/>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2"/>
    </row>
    <row r="803" spans="1:25" x14ac:dyDescent="0.25">
      <c r="A803" s="320"/>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2"/>
    </row>
    <row r="804" spans="1:25" x14ac:dyDescent="0.25">
      <c r="A804" s="320"/>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2"/>
    </row>
    <row r="805" spans="1:25" x14ac:dyDescent="0.25">
      <c r="A805" s="320"/>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2"/>
    </row>
    <row r="806" spans="1:25" x14ac:dyDescent="0.25">
      <c r="A806" s="320"/>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2"/>
    </row>
    <row r="807" spans="1:25" x14ac:dyDescent="0.25">
      <c r="A807" s="320"/>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2"/>
    </row>
    <row r="808" spans="1:25" ht="15.75" thickBot="1" x14ac:dyDescent="0.3">
      <c r="A808" s="323"/>
      <c r="B808" s="324"/>
      <c r="C808" s="324"/>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5"/>
    </row>
    <row r="810" spans="1:25" ht="15.75" thickBot="1" x14ac:dyDescent="0.3">
      <c r="A810" s="326" t="s">
        <v>29</v>
      </c>
      <c r="B810" s="326"/>
      <c r="C810" s="326"/>
      <c r="D810" s="326"/>
    </row>
    <row r="811" spans="1:25" x14ac:dyDescent="0.25">
      <c r="A811" s="317" t="s">
        <v>400</v>
      </c>
      <c r="B811" s="318"/>
      <c r="C811" s="318"/>
      <c r="D811" s="318"/>
      <c r="E811" s="318"/>
      <c r="F811" s="318"/>
      <c r="G811" s="318"/>
      <c r="H811" s="318"/>
      <c r="I811" s="318"/>
      <c r="J811" s="318"/>
      <c r="K811" s="318"/>
      <c r="L811" s="318"/>
      <c r="M811" s="318"/>
      <c r="N811" s="318"/>
      <c r="O811" s="318"/>
      <c r="P811" s="318"/>
      <c r="Q811" s="318"/>
      <c r="R811" s="318"/>
      <c r="S811" s="318"/>
      <c r="T811" s="318"/>
      <c r="U811" s="318"/>
      <c r="V811" s="318"/>
      <c r="W811" s="318"/>
      <c r="X811" s="318"/>
      <c r="Y811" s="319"/>
    </row>
    <row r="812" spans="1:25" x14ac:dyDescent="0.25">
      <c r="A812" s="320"/>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2"/>
    </row>
    <row r="813" spans="1:25" x14ac:dyDescent="0.25">
      <c r="A813" s="320"/>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2"/>
    </row>
    <row r="814" spans="1:25" x14ac:dyDescent="0.25">
      <c r="A814" s="320"/>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2"/>
    </row>
    <row r="815" spans="1:25" x14ac:dyDescent="0.25">
      <c r="A815" s="320"/>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2"/>
    </row>
    <row r="816" spans="1:25" x14ac:dyDescent="0.25">
      <c r="A816" s="320"/>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2"/>
    </row>
    <row r="817" spans="1:25" ht="15.75" thickBot="1" x14ac:dyDescent="0.3">
      <c r="A817" s="323"/>
      <c r="B817" s="324"/>
      <c r="C817" s="324"/>
      <c r="D817" s="324"/>
      <c r="E817" s="324"/>
      <c r="F817" s="324"/>
      <c r="G817" s="324"/>
      <c r="H817" s="324"/>
      <c r="I817" s="324"/>
      <c r="J817" s="324"/>
      <c r="K817" s="324"/>
      <c r="L817" s="324"/>
      <c r="M817" s="324"/>
      <c r="N817" s="324"/>
      <c r="O817" s="324"/>
      <c r="P817" s="324"/>
      <c r="Q817" s="324"/>
      <c r="R817" s="324"/>
      <c r="S817" s="324"/>
      <c r="T817" s="324"/>
      <c r="U817" s="324"/>
      <c r="V817" s="324"/>
      <c r="W817" s="324"/>
      <c r="X817" s="324"/>
      <c r="Y817" s="325"/>
    </row>
    <row r="819" spans="1:25" ht="15.75" thickBot="1" x14ac:dyDescent="0.3">
      <c r="A819" s="326" t="s">
        <v>27</v>
      </c>
      <c r="B819" s="326"/>
      <c r="C819" s="326"/>
      <c r="D819" s="326"/>
      <c r="E819" s="326"/>
      <c r="F819" s="326"/>
      <c r="G819" s="326"/>
      <c r="H819" s="326"/>
    </row>
    <row r="820" spans="1:25" ht="15.75" thickBot="1" x14ac:dyDescent="0.3">
      <c r="A820" s="327" t="s">
        <v>262</v>
      </c>
      <c r="B820" s="328"/>
      <c r="C820" s="328"/>
      <c r="D820" s="328"/>
      <c r="E820" s="328"/>
      <c r="F820" s="328"/>
      <c r="G820" s="328"/>
      <c r="H820" s="328"/>
      <c r="I820" s="328"/>
      <c r="J820" s="328"/>
      <c r="K820" s="328"/>
      <c r="L820" s="328"/>
      <c r="M820" s="328"/>
      <c r="N820" s="328"/>
      <c r="O820" s="328"/>
      <c r="P820" s="328"/>
      <c r="Q820" s="328"/>
      <c r="R820" s="328"/>
      <c r="S820" s="328"/>
      <c r="T820" s="328"/>
      <c r="U820" s="328"/>
      <c r="V820" s="328"/>
      <c r="W820" s="328"/>
      <c r="X820" s="328"/>
      <c r="Y820" s="329"/>
    </row>
    <row r="822" spans="1:25" ht="15.75" thickBot="1" x14ac:dyDescent="0.3">
      <c r="A822" s="326" t="s">
        <v>121</v>
      </c>
      <c r="B822" s="326"/>
      <c r="C822" s="326"/>
      <c r="E822" s="326" t="s">
        <v>122</v>
      </c>
      <c r="F822" s="326"/>
      <c r="G822" s="326"/>
    </row>
    <row r="823" spans="1:25" ht="15.75" thickBot="1" x14ac:dyDescent="0.3">
      <c r="A823" s="330" t="s">
        <v>66</v>
      </c>
      <c r="B823" s="331"/>
      <c r="E823" s="330" t="s">
        <v>66</v>
      </c>
      <c r="F823" s="331"/>
    </row>
    <row r="825" spans="1:25" s="12" customFormat="1" x14ac:dyDescent="0.25"/>
    <row r="827" spans="1:25" ht="19.5" thickBot="1" x14ac:dyDescent="0.35">
      <c r="A827" s="332" t="s">
        <v>95</v>
      </c>
      <c r="B827" s="332"/>
      <c r="C827" s="332"/>
      <c r="D827" s="332"/>
      <c r="E827" s="332"/>
      <c r="F827" s="332"/>
      <c r="H827" s="332" t="s">
        <v>334</v>
      </c>
      <c r="I827" s="332"/>
      <c r="J827" s="332"/>
    </row>
    <row r="828" spans="1:25" x14ac:dyDescent="0.25">
      <c r="A828" s="333" t="s">
        <v>544</v>
      </c>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5"/>
    </row>
    <row r="829" spans="1:25" x14ac:dyDescent="0.25">
      <c r="A829" s="336"/>
      <c r="B829" s="337"/>
      <c r="C829" s="337"/>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8"/>
    </row>
    <row r="830" spans="1:25" x14ac:dyDescent="0.25">
      <c r="A830" s="336"/>
      <c r="B830" s="337"/>
      <c r="C830" s="337"/>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8"/>
    </row>
    <row r="831" spans="1:25" x14ac:dyDescent="0.25">
      <c r="A831" s="336"/>
      <c r="B831" s="337"/>
      <c r="C831" s="337"/>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8"/>
    </row>
    <row r="832" spans="1:25" x14ac:dyDescent="0.25">
      <c r="A832" s="336"/>
      <c r="B832" s="337"/>
      <c r="C832" s="337"/>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8"/>
    </row>
    <row r="833" spans="1:25" x14ac:dyDescent="0.25">
      <c r="A833" s="336"/>
      <c r="B833" s="337"/>
      <c r="C833" s="337"/>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8"/>
    </row>
    <row r="834" spans="1:25" x14ac:dyDescent="0.25">
      <c r="A834" s="336"/>
      <c r="B834" s="337"/>
      <c r="C834" s="337"/>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8"/>
    </row>
    <row r="835" spans="1:25" x14ac:dyDescent="0.25">
      <c r="A835" s="336"/>
      <c r="B835" s="337"/>
      <c r="C835" s="337"/>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8"/>
    </row>
    <row r="836" spans="1:25" x14ac:dyDescent="0.25">
      <c r="A836" s="336"/>
      <c r="B836" s="337"/>
      <c r="C836" s="337"/>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8"/>
    </row>
    <row r="837" spans="1:25" x14ac:dyDescent="0.25">
      <c r="A837" s="336"/>
      <c r="B837" s="337"/>
      <c r="C837" s="337"/>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8"/>
    </row>
    <row r="838" spans="1:25" x14ac:dyDescent="0.25">
      <c r="A838" s="336"/>
      <c r="B838" s="337"/>
      <c r="C838" s="337"/>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8"/>
    </row>
    <row r="839" spans="1:25" x14ac:dyDescent="0.25">
      <c r="A839" s="336"/>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8"/>
    </row>
    <row r="840" spans="1:25" x14ac:dyDescent="0.25">
      <c r="A840" s="336"/>
      <c r="B840" s="337"/>
      <c r="C840" s="337"/>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8"/>
    </row>
    <row r="841" spans="1:25" ht="15.75" thickBot="1" x14ac:dyDescent="0.3">
      <c r="A841" s="339"/>
      <c r="B841" s="340"/>
      <c r="C841" s="340"/>
      <c r="D841" s="340"/>
      <c r="E841" s="340"/>
      <c r="F841" s="340"/>
      <c r="G841" s="340"/>
      <c r="H841" s="340"/>
      <c r="I841" s="340"/>
      <c r="J841" s="340"/>
      <c r="K841" s="340"/>
      <c r="L841" s="340"/>
      <c r="M841" s="340"/>
      <c r="N841" s="340"/>
      <c r="O841" s="340"/>
      <c r="P841" s="340"/>
      <c r="Q841" s="340"/>
      <c r="R841" s="340"/>
      <c r="S841" s="340"/>
      <c r="T841" s="340"/>
      <c r="U841" s="340"/>
      <c r="V841" s="340"/>
      <c r="W841" s="340"/>
      <c r="X841" s="340"/>
      <c r="Y841" s="341"/>
    </row>
    <row r="843" spans="1:25" ht="15.75" thickBot="1" x14ac:dyDescent="0.3">
      <c r="A843" s="326" t="s">
        <v>29</v>
      </c>
      <c r="B843" s="326"/>
      <c r="C843" s="326"/>
      <c r="D843" s="326"/>
    </row>
    <row r="844" spans="1:25" x14ac:dyDescent="0.25">
      <c r="A844" s="317" t="s">
        <v>545</v>
      </c>
      <c r="B844" s="318"/>
      <c r="C844" s="318"/>
      <c r="D844" s="318"/>
      <c r="E844" s="318"/>
      <c r="F844" s="318"/>
      <c r="G844" s="318"/>
      <c r="H844" s="318"/>
      <c r="I844" s="318"/>
      <c r="J844" s="318"/>
      <c r="K844" s="318"/>
      <c r="L844" s="318"/>
      <c r="M844" s="318"/>
      <c r="N844" s="318"/>
      <c r="O844" s="318"/>
      <c r="P844" s="318"/>
      <c r="Q844" s="318"/>
      <c r="R844" s="318"/>
      <c r="S844" s="318"/>
      <c r="T844" s="318"/>
      <c r="U844" s="318"/>
      <c r="V844" s="318"/>
      <c r="W844" s="318"/>
      <c r="X844" s="318"/>
      <c r="Y844" s="319"/>
    </row>
    <row r="845" spans="1:25" x14ac:dyDescent="0.25">
      <c r="A845" s="320"/>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2"/>
    </row>
    <row r="846" spans="1:25" x14ac:dyDescent="0.25">
      <c r="A846" s="320"/>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2"/>
    </row>
    <row r="847" spans="1:25" x14ac:dyDescent="0.25">
      <c r="A847" s="320"/>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2"/>
    </row>
    <row r="848" spans="1:25" x14ac:dyDescent="0.25">
      <c r="A848" s="320"/>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2"/>
    </row>
    <row r="849" spans="1:25" x14ac:dyDescent="0.25">
      <c r="A849" s="320"/>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2"/>
    </row>
    <row r="850" spans="1:25" ht="15.75" thickBot="1" x14ac:dyDescent="0.3">
      <c r="A850" s="323"/>
      <c r="B850" s="324"/>
      <c r="C850" s="324"/>
      <c r="D850" s="324"/>
      <c r="E850" s="324"/>
      <c r="F850" s="324"/>
      <c r="G850" s="324"/>
      <c r="H850" s="324"/>
      <c r="I850" s="324"/>
      <c r="J850" s="324"/>
      <c r="K850" s="324"/>
      <c r="L850" s="324"/>
      <c r="M850" s="324"/>
      <c r="N850" s="324"/>
      <c r="O850" s="324"/>
      <c r="P850" s="324"/>
      <c r="Q850" s="324"/>
      <c r="R850" s="324"/>
      <c r="S850" s="324"/>
      <c r="T850" s="324"/>
      <c r="U850" s="324"/>
      <c r="V850" s="324"/>
      <c r="W850" s="324"/>
      <c r="X850" s="324"/>
      <c r="Y850" s="325"/>
    </row>
    <row r="852" spans="1:25" ht="15.75" thickBot="1" x14ac:dyDescent="0.3">
      <c r="A852" s="326" t="s">
        <v>27</v>
      </c>
      <c r="B852" s="326"/>
      <c r="C852" s="326"/>
      <c r="D852" s="326"/>
      <c r="E852" s="326"/>
      <c r="F852" s="326"/>
      <c r="G852" s="326"/>
      <c r="H852" s="326"/>
    </row>
    <row r="853" spans="1:25" ht="15.75" thickBot="1" x14ac:dyDescent="0.3">
      <c r="A853" s="327" t="s">
        <v>360</v>
      </c>
      <c r="B853" s="328"/>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9"/>
    </row>
    <row r="855" spans="1:25" ht="15.75" thickBot="1" x14ac:dyDescent="0.3">
      <c r="A855" s="326" t="s">
        <v>121</v>
      </c>
      <c r="B855" s="326"/>
      <c r="C855" s="326"/>
      <c r="E855" s="326" t="s">
        <v>122</v>
      </c>
      <c r="F855" s="326"/>
      <c r="G855" s="326"/>
    </row>
    <row r="856" spans="1:25" ht="15.75" thickBot="1" x14ac:dyDescent="0.3">
      <c r="A856" s="330" t="s">
        <v>65</v>
      </c>
      <c r="B856" s="331"/>
      <c r="E856" s="330" t="s">
        <v>66</v>
      </c>
      <c r="F856" s="331"/>
    </row>
    <row r="858" spans="1:25" s="12" customFormat="1" x14ac:dyDescent="0.25"/>
    <row r="860" spans="1:25" ht="19.5" thickBot="1" x14ac:dyDescent="0.35">
      <c r="A860" s="332" t="s">
        <v>96</v>
      </c>
      <c r="B860" s="332"/>
      <c r="C860" s="332"/>
      <c r="D860" s="332"/>
      <c r="E860" s="332"/>
      <c r="F860" s="332"/>
      <c r="H860" s="332" t="s">
        <v>337</v>
      </c>
      <c r="I860" s="332"/>
      <c r="J860" s="332"/>
    </row>
    <row r="861" spans="1:25" x14ac:dyDescent="0.25">
      <c r="A861" s="317" t="s">
        <v>401</v>
      </c>
      <c r="B861" s="318"/>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319"/>
    </row>
    <row r="862" spans="1:25" x14ac:dyDescent="0.25">
      <c r="A862" s="320"/>
      <c r="B862" s="321"/>
      <c r="C862" s="321"/>
      <c r="D862" s="321"/>
      <c r="E862" s="321"/>
      <c r="F862" s="321"/>
      <c r="G862" s="321"/>
      <c r="H862" s="321"/>
      <c r="I862" s="321"/>
      <c r="J862" s="321"/>
      <c r="K862" s="321"/>
      <c r="L862" s="321"/>
      <c r="M862" s="321"/>
      <c r="N862" s="321"/>
      <c r="O862" s="321"/>
      <c r="P862" s="321"/>
      <c r="Q862" s="321"/>
      <c r="R862" s="321"/>
      <c r="S862" s="321"/>
      <c r="T862" s="321"/>
      <c r="U862" s="321"/>
      <c r="V862" s="321"/>
      <c r="W862" s="321"/>
      <c r="X862" s="321"/>
      <c r="Y862" s="322"/>
    </row>
    <row r="863" spans="1:25" x14ac:dyDescent="0.25">
      <c r="A863" s="320"/>
      <c r="B863" s="321"/>
      <c r="C863" s="321"/>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2"/>
    </row>
    <row r="864" spans="1:25" x14ac:dyDescent="0.25">
      <c r="A864" s="320"/>
      <c r="B864" s="321"/>
      <c r="C864" s="321"/>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2"/>
    </row>
    <row r="865" spans="1:25" x14ac:dyDescent="0.25">
      <c r="A865" s="320"/>
      <c r="B865" s="321"/>
      <c r="C865" s="321"/>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2"/>
    </row>
    <row r="866" spans="1:25" x14ac:dyDescent="0.25">
      <c r="A866" s="320"/>
      <c r="B866" s="321"/>
      <c r="C866" s="321"/>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2"/>
    </row>
    <row r="867" spans="1:25" x14ac:dyDescent="0.25">
      <c r="A867" s="320"/>
      <c r="B867" s="321"/>
      <c r="C867" s="321"/>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2"/>
    </row>
    <row r="868" spans="1:25" x14ac:dyDescent="0.25">
      <c r="A868" s="320"/>
      <c r="B868" s="321"/>
      <c r="C868" s="321"/>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2"/>
    </row>
    <row r="869" spans="1:25" x14ac:dyDescent="0.25">
      <c r="A869" s="320"/>
      <c r="B869" s="321"/>
      <c r="C869" s="321"/>
      <c r="D869" s="321"/>
      <c r="E869" s="321"/>
      <c r="F869" s="321"/>
      <c r="G869" s="321"/>
      <c r="H869" s="321"/>
      <c r="I869" s="321"/>
      <c r="J869" s="321"/>
      <c r="K869" s="321"/>
      <c r="L869" s="321"/>
      <c r="M869" s="321"/>
      <c r="N869" s="321"/>
      <c r="O869" s="321"/>
      <c r="P869" s="321"/>
      <c r="Q869" s="321"/>
      <c r="R869" s="321"/>
      <c r="S869" s="321"/>
      <c r="T869" s="321"/>
      <c r="U869" s="321"/>
      <c r="V869" s="321"/>
      <c r="W869" s="321"/>
      <c r="X869" s="321"/>
      <c r="Y869" s="322"/>
    </row>
    <row r="870" spans="1:25" x14ac:dyDescent="0.25">
      <c r="A870" s="320"/>
      <c r="B870" s="321"/>
      <c r="C870" s="321"/>
      <c r="D870" s="321"/>
      <c r="E870" s="321"/>
      <c r="F870" s="321"/>
      <c r="G870" s="321"/>
      <c r="H870" s="321"/>
      <c r="I870" s="321"/>
      <c r="J870" s="321"/>
      <c r="K870" s="321"/>
      <c r="L870" s="321"/>
      <c r="M870" s="321"/>
      <c r="N870" s="321"/>
      <c r="O870" s="321"/>
      <c r="P870" s="321"/>
      <c r="Q870" s="321"/>
      <c r="R870" s="321"/>
      <c r="S870" s="321"/>
      <c r="T870" s="321"/>
      <c r="U870" s="321"/>
      <c r="V870" s="321"/>
      <c r="W870" s="321"/>
      <c r="X870" s="321"/>
      <c r="Y870" s="322"/>
    </row>
    <row r="871" spans="1:25" x14ac:dyDescent="0.25">
      <c r="A871" s="320"/>
      <c r="B871" s="321"/>
      <c r="C871" s="321"/>
      <c r="D871" s="321"/>
      <c r="E871" s="321"/>
      <c r="F871" s="321"/>
      <c r="G871" s="321"/>
      <c r="H871" s="321"/>
      <c r="I871" s="321"/>
      <c r="J871" s="321"/>
      <c r="K871" s="321"/>
      <c r="L871" s="321"/>
      <c r="M871" s="321"/>
      <c r="N871" s="321"/>
      <c r="O871" s="321"/>
      <c r="P871" s="321"/>
      <c r="Q871" s="321"/>
      <c r="R871" s="321"/>
      <c r="S871" s="321"/>
      <c r="T871" s="321"/>
      <c r="U871" s="321"/>
      <c r="V871" s="321"/>
      <c r="W871" s="321"/>
      <c r="X871" s="321"/>
      <c r="Y871" s="322"/>
    </row>
    <row r="872" spans="1:25" x14ac:dyDescent="0.25">
      <c r="A872" s="320"/>
      <c r="B872" s="321"/>
      <c r="C872" s="321"/>
      <c r="D872" s="321"/>
      <c r="E872" s="321"/>
      <c r="F872" s="321"/>
      <c r="G872" s="321"/>
      <c r="H872" s="321"/>
      <c r="I872" s="321"/>
      <c r="J872" s="321"/>
      <c r="K872" s="321"/>
      <c r="L872" s="321"/>
      <c r="M872" s="321"/>
      <c r="N872" s="321"/>
      <c r="O872" s="321"/>
      <c r="P872" s="321"/>
      <c r="Q872" s="321"/>
      <c r="R872" s="321"/>
      <c r="S872" s="321"/>
      <c r="T872" s="321"/>
      <c r="U872" s="321"/>
      <c r="V872" s="321"/>
      <c r="W872" s="321"/>
      <c r="X872" s="321"/>
      <c r="Y872" s="322"/>
    </row>
    <row r="873" spans="1:25" x14ac:dyDescent="0.25">
      <c r="A873" s="320"/>
      <c r="B873" s="321"/>
      <c r="C873" s="321"/>
      <c r="D873" s="321"/>
      <c r="E873" s="321"/>
      <c r="F873" s="321"/>
      <c r="G873" s="321"/>
      <c r="H873" s="321"/>
      <c r="I873" s="321"/>
      <c r="J873" s="321"/>
      <c r="K873" s="321"/>
      <c r="L873" s="321"/>
      <c r="M873" s="321"/>
      <c r="N873" s="321"/>
      <c r="O873" s="321"/>
      <c r="P873" s="321"/>
      <c r="Q873" s="321"/>
      <c r="R873" s="321"/>
      <c r="S873" s="321"/>
      <c r="T873" s="321"/>
      <c r="U873" s="321"/>
      <c r="V873" s="321"/>
      <c r="W873" s="321"/>
      <c r="X873" s="321"/>
      <c r="Y873" s="322"/>
    </row>
    <row r="874" spans="1:25" ht="15.75" thickBot="1" x14ac:dyDescent="0.3">
      <c r="A874" s="323"/>
      <c r="B874" s="324"/>
      <c r="C874" s="324"/>
      <c r="D874" s="324"/>
      <c r="E874" s="324"/>
      <c r="F874" s="324"/>
      <c r="G874" s="324"/>
      <c r="H874" s="324"/>
      <c r="I874" s="324"/>
      <c r="J874" s="324"/>
      <c r="K874" s="324"/>
      <c r="L874" s="324"/>
      <c r="M874" s="324"/>
      <c r="N874" s="324"/>
      <c r="O874" s="324"/>
      <c r="P874" s="324"/>
      <c r="Q874" s="324"/>
      <c r="R874" s="324"/>
      <c r="S874" s="324"/>
      <c r="T874" s="324"/>
      <c r="U874" s="324"/>
      <c r="V874" s="324"/>
      <c r="W874" s="324"/>
      <c r="X874" s="324"/>
      <c r="Y874" s="325"/>
    </row>
    <row r="876" spans="1:25" ht="15.75" thickBot="1" x14ac:dyDescent="0.3">
      <c r="A876" s="326" t="s">
        <v>29</v>
      </c>
      <c r="B876" s="326"/>
      <c r="C876" s="326"/>
      <c r="D876" s="326"/>
    </row>
    <row r="877" spans="1:25" x14ac:dyDescent="0.25">
      <c r="A877" s="317" t="s">
        <v>402</v>
      </c>
      <c r="B877" s="318"/>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319"/>
    </row>
    <row r="878" spans="1:25" x14ac:dyDescent="0.25">
      <c r="A878" s="320"/>
      <c r="B878" s="321"/>
      <c r="C878" s="321"/>
      <c r="D878" s="321"/>
      <c r="E878" s="321"/>
      <c r="F878" s="321"/>
      <c r="G878" s="321"/>
      <c r="H878" s="321"/>
      <c r="I878" s="321"/>
      <c r="J878" s="321"/>
      <c r="K878" s="321"/>
      <c r="L878" s="321"/>
      <c r="M878" s="321"/>
      <c r="N878" s="321"/>
      <c r="O878" s="321"/>
      <c r="P878" s="321"/>
      <c r="Q878" s="321"/>
      <c r="R878" s="321"/>
      <c r="S878" s="321"/>
      <c r="T878" s="321"/>
      <c r="U878" s="321"/>
      <c r="V878" s="321"/>
      <c r="W878" s="321"/>
      <c r="X878" s="321"/>
      <c r="Y878" s="322"/>
    </row>
    <row r="879" spans="1:25" x14ac:dyDescent="0.25">
      <c r="A879" s="320"/>
      <c r="B879" s="321"/>
      <c r="C879" s="321"/>
      <c r="D879" s="321"/>
      <c r="E879" s="321"/>
      <c r="F879" s="321"/>
      <c r="G879" s="321"/>
      <c r="H879" s="321"/>
      <c r="I879" s="321"/>
      <c r="J879" s="321"/>
      <c r="K879" s="321"/>
      <c r="L879" s="321"/>
      <c r="M879" s="321"/>
      <c r="N879" s="321"/>
      <c r="O879" s="321"/>
      <c r="P879" s="321"/>
      <c r="Q879" s="321"/>
      <c r="R879" s="321"/>
      <c r="S879" s="321"/>
      <c r="T879" s="321"/>
      <c r="U879" s="321"/>
      <c r="V879" s="321"/>
      <c r="W879" s="321"/>
      <c r="X879" s="321"/>
      <c r="Y879" s="322"/>
    </row>
    <row r="880" spans="1:25" x14ac:dyDescent="0.25">
      <c r="A880" s="320"/>
      <c r="B880" s="321"/>
      <c r="C880" s="321"/>
      <c r="D880" s="321"/>
      <c r="E880" s="321"/>
      <c r="F880" s="321"/>
      <c r="G880" s="321"/>
      <c r="H880" s="321"/>
      <c r="I880" s="321"/>
      <c r="J880" s="321"/>
      <c r="K880" s="321"/>
      <c r="L880" s="321"/>
      <c r="M880" s="321"/>
      <c r="N880" s="321"/>
      <c r="O880" s="321"/>
      <c r="P880" s="321"/>
      <c r="Q880" s="321"/>
      <c r="R880" s="321"/>
      <c r="S880" s="321"/>
      <c r="T880" s="321"/>
      <c r="U880" s="321"/>
      <c r="V880" s="321"/>
      <c r="W880" s="321"/>
      <c r="X880" s="321"/>
      <c r="Y880" s="322"/>
    </row>
    <row r="881" spans="1:25" x14ac:dyDescent="0.25">
      <c r="A881" s="320"/>
      <c r="B881" s="321"/>
      <c r="C881" s="321"/>
      <c r="D881" s="321"/>
      <c r="E881" s="321"/>
      <c r="F881" s="321"/>
      <c r="G881" s="321"/>
      <c r="H881" s="321"/>
      <c r="I881" s="321"/>
      <c r="J881" s="321"/>
      <c r="K881" s="321"/>
      <c r="L881" s="321"/>
      <c r="M881" s="321"/>
      <c r="N881" s="321"/>
      <c r="O881" s="321"/>
      <c r="P881" s="321"/>
      <c r="Q881" s="321"/>
      <c r="R881" s="321"/>
      <c r="S881" s="321"/>
      <c r="T881" s="321"/>
      <c r="U881" s="321"/>
      <c r="V881" s="321"/>
      <c r="W881" s="321"/>
      <c r="X881" s="321"/>
      <c r="Y881" s="322"/>
    </row>
    <row r="882" spans="1:25" x14ac:dyDescent="0.25">
      <c r="A882" s="320"/>
      <c r="B882" s="321"/>
      <c r="C882" s="321"/>
      <c r="D882" s="321"/>
      <c r="E882" s="321"/>
      <c r="F882" s="321"/>
      <c r="G882" s="321"/>
      <c r="H882" s="321"/>
      <c r="I882" s="321"/>
      <c r="J882" s="321"/>
      <c r="K882" s="321"/>
      <c r="L882" s="321"/>
      <c r="M882" s="321"/>
      <c r="N882" s="321"/>
      <c r="O882" s="321"/>
      <c r="P882" s="321"/>
      <c r="Q882" s="321"/>
      <c r="R882" s="321"/>
      <c r="S882" s="321"/>
      <c r="T882" s="321"/>
      <c r="U882" s="321"/>
      <c r="V882" s="321"/>
      <c r="W882" s="321"/>
      <c r="X882" s="321"/>
      <c r="Y882" s="322"/>
    </row>
    <row r="883" spans="1:25" ht="15.75" thickBot="1" x14ac:dyDescent="0.3">
      <c r="A883" s="323"/>
      <c r="B883" s="324"/>
      <c r="C883" s="324"/>
      <c r="D883" s="324"/>
      <c r="E883" s="324"/>
      <c r="F883" s="324"/>
      <c r="G883" s="324"/>
      <c r="H883" s="324"/>
      <c r="I883" s="324"/>
      <c r="J883" s="324"/>
      <c r="K883" s="324"/>
      <c r="L883" s="324"/>
      <c r="M883" s="324"/>
      <c r="N883" s="324"/>
      <c r="O883" s="324"/>
      <c r="P883" s="324"/>
      <c r="Q883" s="324"/>
      <c r="R883" s="324"/>
      <c r="S883" s="324"/>
      <c r="T883" s="324"/>
      <c r="U883" s="324"/>
      <c r="V883" s="324"/>
      <c r="W883" s="324"/>
      <c r="X883" s="324"/>
      <c r="Y883" s="325"/>
    </row>
    <row r="885" spans="1:25" ht="15.75" thickBot="1" x14ac:dyDescent="0.3">
      <c r="A885" s="326" t="s">
        <v>27</v>
      </c>
      <c r="B885" s="326"/>
      <c r="C885" s="326"/>
      <c r="D885" s="326"/>
      <c r="E885" s="326"/>
      <c r="F885" s="326"/>
      <c r="G885" s="326"/>
      <c r="H885" s="326"/>
    </row>
    <row r="886" spans="1:25" ht="15.75" thickBot="1" x14ac:dyDescent="0.3">
      <c r="A886" s="327" t="s">
        <v>319</v>
      </c>
      <c r="B886" s="328"/>
      <c r="C886" s="328"/>
      <c r="D886" s="328"/>
      <c r="E886" s="328"/>
      <c r="F886" s="328"/>
      <c r="G886" s="328"/>
      <c r="H886" s="328"/>
      <c r="I886" s="328"/>
      <c r="J886" s="328"/>
      <c r="K886" s="328"/>
      <c r="L886" s="328"/>
      <c r="M886" s="328"/>
      <c r="N886" s="328"/>
      <c r="O886" s="328"/>
      <c r="P886" s="328"/>
      <c r="Q886" s="328"/>
      <c r="R886" s="328"/>
      <c r="S886" s="328"/>
      <c r="T886" s="328"/>
      <c r="U886" s="328"/>
      <c r="V886" s="328"/>
      <c r="W886" s="328"/>
      <c r="X886" s="328"/>
      <c r="Y886" s="329"/>
    </row>
    <row r="888" spans="1:25" ht="15.75" thickBot="1" x14ac:dyDescent="0.3">
      <c r="A888" s="326" t="s">
        <v>121</v>
      </c>
      <c r="B888" s="326"/>
      <c r="C888" s="326"/>
      <c r="E888" s="326" t="s">
        <v>122</v>
      </c>
      <c r="F888" s="326"/>
      <c r="G888" s="326"/>
    </row>
    <row r="889" spans="1:25" ht="15.75" thickBot="1" x14ac:dyDescent="0.3">
      <c r="A889" s="330" t="s">
        <v>63</v>
      </c>
      <c r="B889" s="331"/>
      <c r="E889" s="330" t="s">
        <v>66</v>
      </c>
      <c r="F889" s="331"/>
    </row>
    <row r="891" spans="1:25" s="12" customFormat="1" x14ac:dyDescent="0.25"/>
    <row r="893" spans="1:25" ht="19.5" thickBot="1" x14ac:dyDescent="0.35">
      <c r="A893" s="332" t="s">
        <v>97</v>
      </c>
      <c r="B893" s="332"/>
      <c r="C893" s="332"/>
      <c r="D893" s="332"/>
      <c r="E893" s="332"/>
      <c r="F893" s="332"/>
      <c r="H893" s="332" t="s">
        <v>437</v>
      </c>
      <c r="I893" s="332"/>
      <c r="J893" s="332"/>
    </row>
    <row r="894" spans="1:25" x14ac:dyDescent="0.25">
      <c r="A894" s="317" t="s">
        <v>438</v>
      </c>
      <c r="B894" s="318"/>
      <c r="C894" s="318"/>
      <c r="D894" s="318"/>
      <c r="E894" s="318"/>
      <c r="F894" s="318"/>
      <c r="G894" s="318"/>
      <c r="H894" s="318"/>
      <c r="I894" s="318"/>
      <c r="J894" s="318"/>
      <c r="K894" s="318"/>
      <c r="L894" s="318"/>
      <c r="M894" s="318"/>
      <c r="N894" s="318"/>
      <c r="O894" s="318"/>
      <c r="P894" s="318"/>
      <c r="Q894" s="318"/>
      <c r="R894" s="318"/>
      <c r="S894" s="318"/>
      <c r="T894" s="318"/>
      <c r="U894" s="318"/>
      <c r="V894" s="318"/>
      <c r="W894" s="318"/>
      <c r="X894" s="318"/>
      <c r="Y894" s="319"/>
    </row>
    <row r="895" spans="1:25" x14ac:dyDescent="0.25">
      <c r="A895" s="320"/>
      <c r="B895" s="321"/>
      <c r="C895" s="321"/>
      <c r="D895" s="321"/>
      <c r="E895" s="321"/>
      <c r="F895" s="321"/>
      <c r="G895" s="321"/>
      <c r="H895" s="321"/>
      <c r="I895" s="321"/>
      <c r="J895" s="321"/>
      <c r="K895" s="321"/>
      <c r="L895" s="321"/>
      <c r="M895" s="321"/>
      <c r="N895" s="321"/>
      <c r="O895" s="321"/>
      <c r="P895" s="321"/>
      <c r="Q895" s="321"/>
      <c r="R895" s="321"/>
      <c r="S895" s="321"/>
      <c r="T895" s="321"/>
      <c r="U895" s="321"/>
      <c r="V895" s="321"/>
      <c r="W895" s="321"/>
      <c r="X895" s="321"/>
      <c r="Y895" s="322"/>
    </row>
    <row r="896" spans="1:25" x14ac:dyDescent="0.25">
      <c r="A896" s="320"/>
      <c r="B896" s="321"/>
      <c r="C896" s="321"/>
      <c r="D896" s="321"/>
      <c r="E896" s="321"/>
      <c r="F896" s="321"/>
      <c r="G896" s="321"/>
      <c r="H896" s="321"/>
      <c r="I896" s="321"/>
      <c r="J896" s="321"/>
      <c r="K896" s="321"/>
      <c r="L896" s="321"/>
      <c r="M896" s="321"/>
      <c r="N896" s="321"/>
      <c r="O896" s="321"/>
      <c r="P896" s="321"/>
      <c r="Q896" s="321"/>
      <c r="R896" s="321"/>
      <c r="S896" s="321"/>
      <c r="T896" s="321"/>
      <c r="U896" s="321"/>
      <c r="V896" s="321"/>
      <c r="W896" s="321"/>
      <c r="X896" s="321"/>
      <c r="Y896" s="322"/>
    </row>
    <row r="897" spans="1:25" x14ac:dyDescent="0.25">
      <c r="A897" s="320"/>
      <c r="B897" s="321"/>
      <c r="C897" s="321"/>
      <c r="D897" s="321"/>
      <c r="E897" s="321"/>
      <c r="F897" s="321"/>
      <c r="G897" s="321"/>
      <c r="H897" s="321"/>
      <c r="I897" s="321"/>
      <c r="J897" s="321"/>
      <c r="K897" s="321"/>
      <c r="L897" s="321"/>
      <c r="M897" s="321"/>
      <c r="N897" s="321"/>
      <c r="O897" s="321"/>
      <c r="P897" s="321"/>
      <c r="Q897" s="321"/>
      <c r="R897" s="321"/>
      <c r="S897" s="321"/>
      <c r="T897" s="321"/>
      <c r="U897" s="321"/>
      <c r="V897" s="321"/>
      <c r="W897" s="321"/>
      <c r="X897" s="321"/>
      <c r="Y897" s="322"/>
    </row>
    <row r="898" spans="1:25" x14ac:dyDescent="0.25">
      <c r="A898" s="320"/>
      <c r="B898" s="321"/>
      <c r="C898" s="321"/>
      <c r="D898" s="321"/>
      <c r="E898" s="321"/>
      <c r="F898" s="321"/>
      <c r="G898" s="321"/>
      <c r="H898" s="321"/>
      <c r="I898" s="321"/>
      <c r="J898" s="321"/>
      <c r="K898" s="321"/>
      <c r="L898" s="321"/>
      <c r="M898" s="321"/>
      <c r="N898" s="321"/>
      <c r="O898" s="321"/>
      <c r="P898" s="321"/>
      <c r="Q898" s="321"/>
      <c r="R898" s="321"/>
      <c r="S898" s="321"/>
      <c r="T898" s="321"/>
      <c r="U898" s="321"/>
      <c r="V898" s="321"/>
      <c r="W898" s="321"/>
      <c r="X898" s="321"/>
      <c r="Y898" s="322"/>
    </row>
    <row r="899" spans="1:25" x14ac:dyDescent="0.25">
      <c r="A899" s="320"/>
      <c r="B899" s="321"/>
      <c r="C899" s="321"/>
      <c r="D899" s="321"/>
      <c r="E899" s="321"/>
      <c r="F899" s="321"/>
      <c r="G899" s="321"/>
      <c r="H899" s="321"/>
      <c r="I899" s="321"/>
      <c r="J899" s="321"/>
      <c r="K899" s="321"/>
      <c r="L899" s="321"/>
      <c r="M899" s="321"/>
      <c r="N899" s="321"/>
      <c r="O899" s="321"/>
      <c r="P899" s="321"/>
      <c r="Q899" s="321"/>
      <c r="R899" s="321"/>
      <c r="S899" s="321"/>
      <c r="T899" s="321"/>
      <c r="U899" s="321"/>
      <c r="V899" s="321"/>
      <c r="W899" s="321"/>
      <c r="X899" s="321"/>
      <c r="Y899" s="322"/>
    </row>
    <row r="900" spans="1:25" x14ac:dyDescent="0.25">
      <c r="A900" s="320"/>
      <c r="B900" s="321"/>
      <c r="C900" s="321"/>
      <c r="D900" s="321"/>
      <c r="E900" s="321"/>
      <c r="F900" s="321"/>
      <c r="G900" s="321"/>
      <c r="H900" s="321"/>
      <c r="I900" s="321"/>
      <c r="J900" s="321"/>
      <c r="K900" s="321"/>
      <c r="L900" s="321"/>
      <c r="M900" s="321"/>
      <c r="N900" s="321"/>
      <c r="O900" s="321"/>
      <c r="P900" s="321"/>
      <c r="Q900" s="321"/>
      <c r="R900" s="321"/>
      <c r="S900" s="321"/>
      <c r="T900" s="321"/>
      <c r="U900" s="321"/>
      <c r="V900" s="321"/>
      <c r="W900" s="321"/>
      <c r="X900" s="321"/>
      <c r="Y900" s="322"/>
    </row>
    <row r="901" spans="1:25" x14ac:dyDescent="0.25">
      <c r="A901" s="320"/>
      <c r="B901" s="321"/>
      <c r="C901" s="321"/>
      <c r="D901" s="321"/>
      <c r="E901" s="321"/>
      <c r="F901" s="321"/>
      <c r="G901" s="321"/>
      <c r="H901" s="321"/>
      <c r="I901" s="321"/>
      <c r="J901" s="321"/>
      <c r="K901" s="321"/>
      <c r="L901" s="321"/>
      <c r="M901" s="321"/>
      <c r="N901" s="321"/>
      <c r="O901" s="321"/>
      <c r="P901" s="321"/>
      <c r="Q901" s="321"/>
      <c r="R901" s="321"/>
      <c r="S901" s="321"/>
      <c r="T901" s="321"/>
      <c r="U901" s="321"/>
      <c r="V901" s="321"/>
      <c r="W901" s="321"/>
      <c r="X901" s="321"/>
      <c r="Y901" s="322"/>
    </row>
    <row r="902" spans="1:25" x14ac:dyDescent="0.25">
      <c r="A902" s="320"/>
      <c r="B902" s="321"/>
      <c r="C902" s="321"/>
      <c r="D902" s="321"/>
      <c r="E902" s="321"/>
      <c r="F902" s="321"/>
      <c r="G902" s="321"/>
      <c r="H902" s="321"/>
      <c r="I902" s="321"/>
      <c r="J902" s="321"/>
      <c r="K902" s="321"/>
      <c r="L902" s="321"/>
      <c r="M902" s="321"/>
      <c r="N902" s="321"/>
      <c r="O902" s="321"/>
      <c r="P902" s="321"/>
      <c r="Q902" s="321"/>
      <c r="R902" s="321"/>
      <c r="S902" s="321"/>
      <c r="T902" s="321"/>
      <c r="U902" s="321"/>
      <c r="V902" s="321"/>
      <c r="W902" s="321"/>
      <c r="X902" s="321"/>
      <c r="Y902" s="322"/>
    </row>
    <row r="903" spans="1:25" x14ac:dyDescent="0.25">
      <c r="A903" s="320"/>
      <c r="B903" s="321"/>
      <c r="C903" s="321"/>
      <c r="D903" s="321"/>
      <c r="E903" s="321"/>
      <c r="F903" s="321"/>
      <c r="G903" s="321"/>
      <c r="H903" s="321"/>
      <c r="I903" s="321"/>
      <c r="J903" s="321"/>
      <c r="K903" s="321"/>
      <c r="L903" s="321"/>
      <c r="M903" s="321"/>
      <c r="N903" s="321"/>
      <c r="O903" s="321"/>
      <c r="P903" s="321"/>
      <c r="Q903" s="321"/>
      <c r="R903" s="321"/>
      <c r="S903" s="321"/>
      <c r="T903" s="321"/>
      <c r="U903" s="321"/>
      <c r="V903" s="321"/>
      <c r="W903" s="321"/>
      <c r="X903" s="321"/>
      <c r="Y903" s="322"/>
    </row>
    <row r="904" spans="1:25" x14ac:dyDescent="0.25">
      <c r="A904" s="320"/>
      <c r="B904" s="321"/>
      <c r="C904" s="321"/>
      <c r="D904" s="321"/>
      <c r="E904" s="321"/>
      <c r="F904" s="321"/>
      <c r="G904" s="321"/>
      <c r="H904" s="321"/>
      <c r="I904" s="321"/>
      <c r="J904" s="321"/>
      <c r="K904" s="321"/>
      <c r="L904" s="321"/>
      <c r="M904" s="321"/>
      <c r="N904" s="321"/>
      <c r="O904" s="321"/>
      <c r="P904" s="321"/>
      <c r="Q904" s="321"/>
      <c r="R904" s="321"/>
      <c r="S904" s="321"/>
      <c r="T904" s="321"/>
      <c r="U904" s="321"/>
      <c r="V904" s="321"/>
      <c r="W904" s="321"/>
      <c r="X904" s="321"/>
      <c r="Y904" s="322"/>
    </row>
    <row r="905" spans="1:25" x14ac:dyDescent="0.25">
      <c r="A905" s="320"/>
      <c r="B905" s="321"/>
      <c r="C905" s="321"/>
      <c r="D905" s="321"/>
      <c r="E905" s="321"/>
      <c r="F905" s="321"/>
      <c r="G905" s="321"/>
      <c r="H905" s="321"/>
      <c r="I905" s="321"/>
      <c r="J905" s="321"/>
      <c r="K905" s="321"/>
      <c r="L905" s="321"/>
      <c r="M905" s="321"/>
      <c r="N905" s="321"/>
      <c r="O905" s="321"/>
      <c r="P905" s="321"/>
      <c r="Q905" s="321"/>
      <c r="R905" s="321"/>
      <c r="S905" s="321"/>
      <c r="T905" s="321"/>
      <c r="U905" s="321"/>
      <c r="V905" s="321"/>
      <c r="W905" s="321"/>
      <c r="X905" s="321"/>
      <c r="Y905" s="322"/>
    </row>
    <row r="906" spans="1:25" x14ac:dyDescent="0.25">
      <c r="A906" s="320"/>
      <c r="B906" s="321"/>
      <c r="C906" s="321"/>
      <c r="D906" s="321"/>
      <c r="E906" s="321"/>
      <c r="F906" s="321"/>
      <c r="G906" s="321"/>
      <c r="H906" s="321"/>
      <c r="I906" s="321"/>
      <c r="J906" s="321"/>
      <c r="K906" s="321"/>
      <c r="L906" s="321"/>
      <c r="M906" s="321"/>
      <c r="N906" s="321"/>
      <c r="O906" s="321"/>
      <c r="P906" s="321"/>
      <c r="Q906" s="321"/>
      <c r="R906" s="321"/>
      <c r="S906" s="321"/>
      <c r="T906" s="321"/>
      <c r="U906" s="321"/>
      <c r="V906" s="321"/>
      <c r="W906" s="321"/>
      <c r="X906" s="321"/>
      <c r="Y906" s="322"/>
    </row>
    <row r="907" spans="1:25" ht="15.75" thickBot="1" x14ac:dyDescent="0.3">
      <c r="A907" s="323"/>
      <c r="B907" s="324"/>
      <c r="C907" s="324"/>
      <c r="D907" s="324"/>
      <c r="E907" s="324"/>
      <c r="F907" s="324"/>
      <c r="G907" s="324"/>
      <c r="H907" s="324"/>
      <c r="I907" s="324"/>
      <c r="J907" s="324"/>
      <c r="K907" s="324"/>
      <c r="L907" s="324"/>
      <c r="M907" s="324"/>
      <c r="N907" s="324"/>
      <c r="O907" s="324"/>
      <c r="P907" s="324"/>
      <c r="Q907" s="324"/>
      <c r="R907" s="324"/>
      <c r="S907" s="324"/>
      <c r="T907" s="324"/>
      <c r="U907" s="324"/>
      <c r="V907" s="324"/>
      <c r="W907" s="324"/>
      <c r="X907" s="324"/>
      <c r="Y907" s="325"/>
    </row>
    <row r="909" spans="1:25" ht="15.75" thickBot="1" x14ac:dyDescent="0.3">
      <c r="A909" s="326" t="s">
        <v>29</v>
      </c>
      <c r="B909" s="326"/>
      <c r="C909" s="326"/>
      <c r="D909" s="326"/>
    </row>
    <row r="910" spans="1:25" x14ac:dyDescent="0.25">
      <c r="A910" s="317" t="s">
        <v>439</v>
      </c>
      <c r="B910" s="318"/>
      <c r="C910" s="318"/>
      <c r="D910" s="318"/>
      <c r="E910" s="318"/>
      <c r="F910" s="318"/>
      <c r="G910" s="318"/>
      <c r="H910" s="318"/>
      <c r="I910" s="318"/>
      <c r="J910" s="318"/>
      <c r="K910" s="318"/>
      <c r="L910" s="318"/>
      <c r="M910" s="318"/>
      <c r="N910" s="318"/>
      <c r="O910" s="318"/>
      <c r="P910" s="318"/>
      <c r="Q910" s="318"/>
      <c r="R910" s="318"/>
      <c r="S910" s="318"/>
      <c r="T910" s="318"/>
      <c r="U910" s="318"/>
      <c r="V910" s="318"/>
      <c r="W910" s="318"/>
      <c r="X910" s="318"/>
      <c r="Y910" s="319"/>
    </row>
    <row r="911" spans="1:25" x14ac:dyDescent="0.25">
      <c r="A911" s="320"/>
      <c r="B911" s="321"/>
      <c r="C911" s="321"/>
      <c r="D911" s="321"/>
      <c r="E911" s="321"/>
      <c r="F911" s="321"/>
      <c r="G911" s="321"/>
      <c r="H911" s="321"/>
      <c r="I911" s="321"/>
      <c r="J911" s="321"/>
      <c r="K911" s="321"/>
      <c r="L911" s="321"/>
      <c r="M911" s="321"/>
      <c r="N911" s="321"/>
      <c r="O911" s="321"/>
      <c r="P911" s="321"/>
      <c r="Q911" s="321"/>
      <c r="R911" s="321"/>
      <c r="S911" s="321"/>
      <c r="T911" s="321"/>
      <c r="U911" s="321"/>
      <c r="V911" s="321"/>
      <c r="W911" s="321"/>
      <c r="X911" s="321"/>
      <c r="Y911" s="322"/>
    </row>
    <row r="912" spans="1:25" x14ac:dyDescent="0.25">
      <c r="A912" s="320"/>
      <c r="B912" s="321"/>
      <c r="C912" s="321"/>
      <c r="D912" s="321"/>
      <c r="E912" s="321"/>
      <c r="F912" s="321"/>
      <c r="G912" s="321"/>
      <c r="H912" s="321"/>
      <c r="I912" s="321"/>
      <c r="J912" s="321"/>
      <c r="K912" s="321"/>
      <c r="L912" s="321"/>
      <c r="M912" s="321"/>
      <c r="N912" s="321"/>
      <c r="O912" s="321"/>
      <c r="P912" s="321"/>
      <c r="Q912" s="321"/>
      <c r="R912" s="321"/>
      <c r="S912" s="321"/>
      <c r="T912" s="321"/>
      <c r="U912" s="321"/>
      <c r="V912" s="321"/>
      <c r="W912" s="321"/>
      <c r="X912" s="321"/>
      <c r="Y912" s="322"/>
    </row>
    <row r="913" spans="1:25" x14ac:dyDescent="0.25">
      <c r="A913" s="320"/>
      <c r="B913" s="321"/>
      <c r="C913" s="321"/>
      <c r="D913" s="321"/>
      <c r="E913" s="321"/>
      <c r="F913" s="321"/>
      <c r="G913" s="321"/>
      <c r="H913" s="321"/>
      <c r="I913" s="321"/>
      <c r="J913" s="321"/>
      <c r="K913" s="321"/>
      <c r="L913" s="321"/>
      <c r="M913" s="321"/>
      <c r="N913" s="321"/>
      <c r="O913" s="321"/>
      <c r="P913" s="321"/>
      <c r="Q913" s="321"/>
      <c r="R913" s="321"/>
      <c r="S913" s="321"/>
      <c r="T913" s="321"/>
      <c r="U913" s="321"/>
      <c r="V913" s="321"/>
      <c r="W913" s="321"/>
      <c r="X913" s="321"/>
      <c r="Y913" s="322"/>
    </row>
    <row r="914" spans="1:25" x14ac:dyDescent="0.25">
      <c r="A914" s="320"/>
      <c r="B914" s="321"/>
      <c r="C914" s="321"/>
      <c r="D914" s="321"/>
      <c r="E914" s="321"/>
      <c r="F914" s="321"/>
      <c r="G914" s="321"/>
      <c r="H914" s="321"/>
      <c r="I914" s="321"/>
      <c r="J914" s="321"/>
      <c r="K914" s="321"/>
      <c r="L914" s="321"/>
      <c r="M914" s="321"/>
      <c r="N914" s="321"/>
      <c r="O914" s="321"/>
      <c r="P914" s="321"/>
      <c r="Q914" s="321"/>
      <c r="R914" s="321"/>
      <c r="S914" s="321"/>
      <c r="T914" s="321"/>
      <c r="U914" s="321"/>
      <c r="V914" s="321"/>
      <c r="W914" s="321"/>
      <c r="X914" s="321"/>
      <c r="Y914" s="322"/>
    </row>
    <row r="915" spans="1:25" x14ac:dyDescent="0.25">
      <c r="A915" s="320"/>
      <c r="B915" s="321"/>
      <c r="C915" s="321"/>
      <c r="D915" s="321"/>
      <c r="E915" s="321"/>
      <c r="F915" s="321"/>
      <c r="G915" s="321"/>
      <c r="H915" s="321"/>
      <c r="I915" s="321"/>
      <c r="J915" s="321"/>
      <c r="K915" s="321"/>
      <c r="L915" s="321"/>
      <c r="M915" s="321"/>
      <c r="N915" s="321"/>
      <c r="O915" s="321"/>
      <c r="P915" s="321"/>
      <c r="Q915" s="321"/>
      <c r="R915" s="321"/>
      <c r="S915" s="321"/>
      <c r="T915" s="321"/>
      <c r="U915" s="321"/>
      <c r="V915" s="321"/>
      <c r="W915" s="321"/>
      <c r="X915" s="321"/>
      <c r="Y915" s="322"/>
    </row>
    <row r="916" spans="1:25" ht="15.75" thickBot="1" x14ac:dyDescent="0.3">
      <c r="A916" s="323"/>
      <c r="B916" s="324"/>
      <c r="C916" s="324"/>
      <c r="D916" s="324"/>
      <c r="E916" s="324"/>
      <c r="F916" s="324"/>
      <c r="G916" s="324"/>
      <c r="H916" s="324"/>
      <c r="I916" s="324"/>
      <c r="J916" s="324"/>
      <c r="K916" s="324"/>
      <c r="L916" s="324"/>
      <c r="M916" s="324"/>
      <c r="N916" s="324"/>
      <c r="O916" s="324"/>
      <c r="P916" s="324"/>
      <c r="Q916" s="324"/>
      <c r="R916" s="324"/>
      <c r="S916" s="324"/>
      <c r="T916" s="324"/>
      <c r="U916" s="324"/>
      <c r="V916" s="324"/>
      <c r="W916" s="324"/>
      <c r="X916" s="324"/>
      <c r="Y916" s="325"/>
    </row>
    <row r="918" spans="1:25" ht="15.75" thickBot="1" x14ac:dyDescent="0.3">
      <c r="A918" s="326" t="s">
        <v>27</v>
      </c>
      <c r="B918" s="326"/>
      <c r="C918" s="326"/>
      <c r="D918" s="326"/>
      <c r="E918" s="326"/>
      <c r="F918" s="326"/>
      <c r="G918" s="326"/>
      <c r="H918" s="326"/>
    </row>
    <row r="919" spans="1:25" ht="15.75" thickBot="1" x14ac:dyDescent="0.3">
      <c r="A919" s="327" t="s">
        <v>310</v>
      </c>
      <c r="B919" s="328"/>
      <c r="C919" s="328"/>
      <c r="D919" s="328"/>
      <c r="E919" s="328"/>
      <c r="F919" s="328"/>
      <c r="G919" s="328"/>
      <c r="H919" s="328"/>
      <c r="I919" s="328"/>
      <c r="J919" s="328"/>
      <c r="K919" s="328"/>
      <c r="L919" s="328"/>
      <c r="M919" s="328"/>
      <c r="N919" s="328"/>
      <c r="O919" s="328"/>
      <c r="P919" s="328"/>
      <c r="Q919" s="328"/>
      <c r="R919" s="328"/>
      <c r="S919" s="328"/>
      <c r="T919" s="328"/>
      <c r="U919" s="328"/>
      <c r="V919" s="328"/>
      <c r="W919" s="328"/>
      <c r="X919" s="328"/>
      <c r="Y919" s="329"/>
    </row>
    <row r="921" spans="1:25" ht="15.75" thickBot="1" x14ac:dyDescent="0.3">
      <c r="A921" s="326" t="s">
        <v>121</v>
      </c>
      <c r="B921" s="326"/>
      <c r="C921" s="326"/>
      <c r="E921" s="326" t="s">
        <v>122</v>
      </c>
      <c r="F921" s="326"/>
      <c r="G921" s="326"/>
    </row>
    <row r="922" spans="1:25" ht="15.75" thickBot="1" x14ac:dyDescent="0.3">
      <c r="A922" s="330" t="s">
        <v>63</v>
      </c>
      <c r="B922" s="331"/>
      <c r="E922" s="330" t="s">
        <v>66</v>
      </c>
      <c r="F922" s="331"/>
    </row>
    <row r="924" spans="1:25" s="12" customFormat="1" x14ac:dyDescent="0.25"/>
    <row r="926" spans="1:25" ht="19.5" thickBot="1" x14ac:dyDescent="0.35">
      <c r="A926" s="332" t="s">
        <v>98</v>
      </c>
      <c r="B926" s="332"/>
      <c r="C926" s="332"/>
      <c r="D926" s="332"/>
      <c r="E926" s="332"/>
      <c r="F926" s="332"/>
      <c r="H926" s="332" t="s">
        <v>421</v>
      </c>
      <c r="I926" s="332"/>
      <c r="J926" s="332"/>
    </row>
    <row r="927" spans="1:25" x14ac:dyDescent="0.25">
      <c r="A927" s="317" t="s">
        <v>341</v>
      </c>
      <c r="B927" s="318"/>
      <c r="C927" s="318"/>
      <c r="D927" s="318"/>
      <c r="E927" s="318"/>
      <c r="F927" s="318"/>
      <c r="G927" s="318"/>
      <c r="H927" s="318"/>
      <c r="I927" s="318"/>
      <c r="J927" s="318"/>
      <c r="K927" s="318"/>
      <c r="L927" s="318"/>
      <c r="M927" s="318"/>
      <c r="N927" s="318"/>
      <c r="O927" s="318"/>
      <c r="P927" s="318"/>
      <c r="Q927" s="318"/>
      <c r="R927" s="318"/>
      <c r="S927" s="318"/>
      <c r="T927" s="318"/>
      <c r="U927" s="318"/>
      <c r="V927" s="318"/>
      <c r="W927" s="318"/>
      <c r="X927" s="318"/>
      <c r="Y927" s="319"/>
    </row>
    <row r="928" spans="1:25" x14ac:dyDescent="0.25">
      <c r="A928" s="320"/>
      <c r="B928" s="321"/>
      <c r="C928" s="321"/>
      <c r="D928" s="321"/>
      <c r="E928" s="321"/>
      <c r="F928" s="321"/>
      <c r="G928" s="321"/>
      <c r="H928" s="321"/>
      <c r="I928" s="321"/>
      <c r="J928" s="321"/>
      <c r="K928" s="321"/>
      <c r="L928" s="321"/>
      <c r="M928" s="321"/>
      <c r="N928" s="321"/>
      <c r="O928" s="321"/>
      <c r="P928" s="321"/>
      <c r="Q928" s="321"/>
      <c r="R928" s="321"/>
      <c r="S928" s="321"/>
      <c r="T928" s="321"/>
      <c r="U928" s="321"/>
      <c r="V928" s="321"/>
      <c r="W928" s="321"/>
      <c r="X928" s="321"/>
      <c r="Y928" s="322"/>
    </row>
    <row r="929" spans="1:25" x14ac:dyDescent="0.25">
      <c r="A929" s="320"/>
      <c r="B929" s="321"/>
      <c r="C929" s="321"/>
      <c r="D929" s="321"/>
      <c r="E929" s="321"/>
      <c r="F929" s="321"/>
      <c r="G929" s="321"/>
      <c r="H929" s="321"/>
      <c r="I929" s="321"/>
      <c r="J929" s="321"/>
      <c r="K929" s="321"/>
      <c r="L929" s="321"/>
      <c r="M929" s="321"/>
      <c r="N929" s="321"/>
      <c r="O929" s="321"/>
      <c r="P929" s="321"/>
      <c r="Q929" s="321"/>
      <c r="R929" s="321"/>
      <c r="S929" s="321"/>
      <c r="T929" s="321"/>
      <c r="U929" s="321"/>
      <c r="V929" s="321"/>
      <c r="W929" s="321"/>
      <c r="X929" s="321"/>
      <c r="Y929" s="322"/>
    </row>
    <row r="930" spans="1:25" x14ac:dyDescent="0.25">
      <c r="A930" s="320"/>
      <c r="B930" s="321"/>
      <c r="C930" s="321"/>
      <c r="D930" s="321"/>
      <c r="E930" s="321"/>
      <c r="F930" s="321"/>
      <c r="G930" s="321"/>
      <c r="H930" s="321"/>
      <c r="I930" s="321"/>
      <c r="J930" s="321"/>
      <c r="K930" s="321"/>
      <c r="L930" s="321"/>
      <c r="M930" s="321"/>
      <c r="N930" s="321"/>
      <c r="O930" s="321"/>
      <c r="P930" s="321"/>
      <c r="Q930" s="321"/>
      <c r="R930" s="321"/>
      <c r="S930" s="321"/>
      <c r="T930" s="321"/>
      <c r="U930" s="321"/>
      <c r="V930" s="321"/>
      <c r="W930" s="321"/>
      <c r="X930" s="321"/>
      <c r="Y930" s="322"/>
    </row>
    <row r="931" spans="1:25" x14ac:dyDescent="0.25">
      <c r="A931" s="320"/>
      <c r="B931" s="321"/>
      <c r="C931" s="321"/>
      <c r="D931" s="321"/>
      <c r="E931" s="321"/>
      <c r="F931" s="321"/>
      <c r="G931" s="321"/>
      <c r="H931" s="321"/>
      <c r="I931" s="321"/>
      <c r="J931" s="321"/>
      <c r="K931" s="321"/>
      <c r="L931" s="321"/>
      <c r="M931" s="321"/>
      <c r="N931" s="321"/>
      <c r="O931" s="321"/>
      <c r="P931" s="321"/>
      <c r="Q931" s="321"/>
      <c r="R931" s="321"/>
      <c r="S931" s="321"/>
      <c r="T931" s="321"/>
      <c r="U931" s="321"/>
      <c r="V931" s="321"/>
      <c r="W931" s="321"/>
      <c r="X931" s="321"/>
      <c r="Y931" s="322"/>
    </row>
    <row r="932" spans="1:25" x14ac:dyDescent="0.25">
      <c r="A932" s="320"/>
      <c r="B932" s="321"/>
      <c r="C932" s="321"/>
      <c r="D932" s="321"/>
      <c r="E932" s="321"/>
      <c r="F932" s="321"/>
      <c r="G932" s="321"/>
      <c r="H932" s="321"/>
      <c r="I932" s="321"/>
      <c r="J932" s="321"/>
      <c r="K932" s="321"/>
      <c r="L932" s="321"/>
      <c r="M932" s="321"/>
      <c r="N932" s="321"/>
      <c r="O932" s="321"/>
      <c r="P932" s="321"/>
      <c r="Q932" s="321"/>
      <c r="R932" s="321"/>
      <c r="S932" s="321"/>
      <c r="T932" s="321"/>
      <c r="U932" s="321"/>
      <c r="V932" s="321"/>
      <c r="W932" s="321"/>
      <c r="X932" s="321"/>
      <c r="Y932" s="322"/>
    </row>
    <row r="933" spans="1:25" x14ac:dyDescent="0.25">
      <c r="A933" s="320"/>
      <c r="B933" s="321"/>
      <c r="C933" s="321"/>
      <c r="D933" s="321"/>
      <c r="E933" s="321"/>
      <c r="F933" s="321"/>
      <c r="G933" s="321"/>
      <c r="H933" s="321"/>
      <c r="I933" s="321"/>
      <c r="J933" s="321"/>
      <c r="K933" s="321"/>
      <c r="L933" s="321"/>
      <c r="M933" s="321"/>
      <c r="N933" s="321"/>
      <c r="O933" s="321"/>
      <c r="P933" s="321"/>
      <c r="Q933" s="321"/>
      <c r="R933" s="321"/>
      <c r="S933" s="321"/>
      <c r="T933" s="321"/>
      <c r="U933" s="321"/>
      <c r="V933" s="321"/>
      <c r="W933" s="321"/>
      <c r="X933" s="321"/>
      <c r="Y933" s="322"/>
    </row>
    <row r="934" spans="1:25" x14ac:dyDescent="0.25">
      <c r="A934" s="320"/>
      <c r="B934" s="321"/>
      <c r="C934" s="321"/>
      <c r="D934" s="321"/>
      <c r="E934" s="321"/>
      <c r="F934" s="321"/>
      <c r="G934" s="321"/>
      <c r="H934" s="321"/>
      <c r="I934" s="321"/>
      <c r="J934" s="321"/>
      <c r="K934" s="321"/>
      <c r="L934" s="321"/>
      <c r="M934" s="321"/>
      <c r="N934" s="321"/>
      <c r="O934" s="321"/>
      <c r="P934" s="321"/>
      <c r="Q934" s="321"/>
      <c r="R934" s="321"/>
      <c r="S934" s="321"/>
      <c r="T934" s="321"/>
      <c r="U934" s="321"/>
      <c r="V934" s="321"/>
      <c r="W934" s="321"/>
      <c r="X934" s="321"/>
      <c r="Y934" s="322"/>
    </row>
    <row r="935" spans="1:25" x14ac:dyDescent="0.25">
      <c r="A935" s="320"/>
      <c r="B935" s="321"/>
      <c r="C935" s="321"/>
      <c r="D935" s="321"/>
      <c r="E935" s="321"/>
      <c r="F935" s="321"/>
      <c r="G935" s="321"/>
      <c r="H935" s="321"/>
      <c r="I935" s="321"/>
      <c r="J935" s="321"/>
      <c r="K935" s="321"/>
      <c r="L935" s="321"/>
      <c r="M935" s="321"/>
      <c r="N935" s="321"/>
      <c r="O935" s="321"/>
      <c r="P935" s="321"/>
      <c r="Q935" s="321"/>
      <c r="R935" s="321"/>
      <c r="S935" s="321"/>
      <c r="T935" s="321"/>
      <c r="U935" s="321"/>
      <c r="V935" s="321"/>
      <c r="W935" s="321"/>
      <c r="X935" s="321"/>
      <c r="Y935" s="322"/>
    </row>
    <row r="936" spans="1:25" x14ac:dyDescent="0.25">
      <c r="A936" s="320"/>
      <c r="B936" s="321"/>
      <c r="C936" s="321"/>
      <c r="D936" s="321"/>
      <c r="E936" s="321"/>
      <c r="F936" s="321"/>
      <c r="G936" s="321"/>
      <c r="H936" s="321"/>
      <c r="I936" s="321"/>
      <c r="J936" s="321"/>
      <c r="K936" s="321"/>
      <c r="L936" s="321"/>
      <c r="M936" s="321"/>
      <c r="N936" s="321"/>
      <c r="O936" s="321"/>
      <c r="P936" s="321"/>
      <c r="Q936" s="321"/>
      <c r="R936" s="321"/>
      <c r="S936" s="321"/>
      <c r="T936" s="321"/>
      <c r="U936" s="321"/>
      <c r="V936" s="321"/>
      <c r="W936" s="321"/>
      <c r="X936" s="321"/>
      <c r="Y936" s="322"/>
    </row>
    <row r="937" spans="1:25" x14ac:dyDescent="0.25">
      <c r="A937" s="320"/>
      <c r="B937" s="321"/>
      <c r="C937" s="321"/>
      <c r="D937" s="321"/>
      <c r="E937" s="321"/>
      <c r="F937" s="321"/>
      <c r="G937" s="321"/>
      <c r="H937" s="321"/>
      <c r="I937" s="321"/>
      <c r="J937" s="321"/>
      <c r="K937" s="321"/>
      <c r="L937" s="321"/>
      <c r="M937" s="321"/>
      <c r="N937" s="321"/>
      <c r="O937" s="321"/>
      <c r="P937" s="321"/>
      <c r="Q937" s="321"/>
      <c r="R937" s="321"/>
      <c r="S937" s="321"/>
      <c r="T937" s="321"/>
      <c r="U937" s="321"/>
      <c r="V937" s="321"/>
      <c r="W937" s="321"/>
      <c r="X937" s="321"/>
      <c r="Y937" s="322"/>
    </row>
    <row r="938" spans="1:25" x14ac:dyDescent="0.25">
      <c r="A938" s="320"/>
      <c r="B938" s="321"/>
      <c r="C938" s="321"/>
      <c r="D938" s="321"/>
      <c r="E938" s="321"/>
      <c r="F938" s="321"/>
      <c r="G938" s="321"/>
      <c r="H938" s="321"/>
      <c r="I938" s="321"/>
      <c r="J938" s="321"/>
      <c r="K938" s="321"/>
      <c r="L938" s="321"/>
      <c r="M938" s="321"/>
      <c r="N938" s="321"/>
      <c r="O938" s="321"/>
      <c r="P938" s="321"/>
      <c r="Q938" s="321"/>
      <c r="R938" s="321"/>
      <c r="S938" s="321"/>
      <c r="T938" s="321"/>
      <c r="U938" s="321"/>
      <c r="V938" s="321"/>
      <c r="W938" s="321"/>
      <c r="X938" s="321"/>
      <c r="Y938" s="322"/>
    </row>
    <row r="939" spans="1:25" x14ac:dyDescent="0.25">
      <c r="A939" s="320"/>
      <c r="B939" s="321"/>
      <c r="C939" s="321"/>
      <c r="D939" s="321"/>
      <c r="E939" s="321"/>
      <c r="F939" s="321"/>
      <c r="G939" s="321"/>
      <c r="H939" s="321"/>
      <c r="I939" s="321"/>
      <c r="J939" s="321"/>
      <c r="K939" s="321"/>
      <c r="L939" s="321"/>
      <c r="M939" s="321"/>
      <c r="N939" s="321"/>
      <c r="O939" s="321"/>
      <c r="P939" s="321"/>
      <c r="Q939" s="321"/>
      <c r="R939" s="321"/>
      <c r="S939" s="321"/>
      <c r="T939" s="321"/>
      <c r="U939" s="321"/>
      <c r="V939" s="321"/>
      <c r="W939" s="321"/>
      <c r="X939" s="321"/>
      <c r="Y939" s="322"/>
    </row>
    <row r="940" spans="1:25" ht="15.75" thickBot="1" x14ac:dyDescent="0.3">
      <c r="A940" s="323"/>
      <c r="B940" s="324"/>
      <c r="C940" s="324"/>
      <c r="D940" s="324"/>
      <c r="E940" s="324"/>
      <c r="F940" s="324"/>
      <c r="G940" s="324"/>
      <c r="H940" s="324"/>
      <c r="I940" s="324"/>
      <c r="J940" s="324"/>
      <c r="K940" s="324"/>
      <c r="L940" s="324"/>
      <c r="M940" s="324"/>
      <c r="N940" s="324"/>
      <c r="O940" s="324"/>
      <c r="P940" s="324"/>
      <c r="Q940" s="324"/>
      <c r="R940" s="324"/>
      <c r="S940" s="324"/>
      <c r="T940" s="324"/>
      <c r="U940" s="324"/>
      <c r="V940" s="324"/>
      <c r="W940" s="324"/>
      <c r="X940" s="324"/>
      <c r="Y940" s="325"/>
    </row>
    <row r="942" spans="1:25" ht="15.75" thickBot="1" x14ac:dyDescent="0.3">
      <c r="A942" s="326" t="s">
        <v>29</v>
      </c>
      <c r="B942" s="326"/>
      <c r="C942" s="326"/>
      <c r="D942" s="326"/>
    </row>
    <row r="943" spans="1:25" x14ac:dyDescent="0.25">
      <c r="A943" s="317" t="s">
        <v>342</v>
      </c>
      <c r="B943" s="318"/>
      <c r="C943" s="318"/>
      <c r="D943" s="318"/>
      <c r="E943" s="318"/>
      <c r="F943" s="318"/>
      <c r="G943" s="318"/>
      <c r="H943" s="318"/>
      <c r="I943" s="318"/>
      <c r="J943" s="318"/>
      <c r="K943" s="318"/>
      <c r="L943" s="318"/>
      <c r="M943" s="318"/>
      <c r="N943" s="318"/>
      <c r="O943" s="318"/>
      <c r="P943" s="318"/>
      <c r="Q943" s="318"/>
      <c r="R943" s="318"/>
      <c r="S943" s="318"/>
      <c r="T943" s="318"/>
      <c r="U943" s="318"/>
      <c r="V943" s="318"/>
      <c r="W943" s="318"/>
      <c r="X943" s="318"/>
      <c r="Y943" s="319"/>
    </row>
    <row r="944" spans="1:25" x14ac:dyDescent="0.25">
      <c r="A944" s="320"/>
      <c r="B944" s="321"/>
      <c r="C944" s="321"/>
      <c r="D944" s="321"/>
      <c r="E944" s="321"/>
      <c r="F944" s="321"/>
      <c r="G944" s="321"/>
      <c r="H944" s="321"/>
      <c r="I944" s="321"/>
      <c r="J944" s="321"/>
      <c r="K944" s="321"/>
      <c r="L944" s="321"/>
      <c r="M944" s="321"/>
      <c r="N944" s="321"/>
      <c r="O944" s="321"/>
      <c r="P944" s="321"/>
      <c r="Q944" s="321"/>
      <c r="R944" s="321"/>
      <c r="S944" s="321"/>
      <c r="T944" s="321"/>
      <c r="U944" s="321"/>
      <c r="V944" s="321"/>
      <c r="W944" s="321"/>
      <c r="X944" s="321"/>
      <c r="Y944" s="322"/>
    </row>
    <row r="945" spans="1:25" x14ac:dyDescent="0.25">
      <c r="A945" s="320"/>
      <c r="B945" s="321"/>
      <c r="C945" s="321"/>
      <c r="D945" s="321"/>
      <c r="E945" s="321"/>
      <c r="F945" s="321"/>
      <c r="G945" s="321"/>
      <c r="H945" s="321"/>
      <c r="I945" s="321"/>
      <c r="J945" s="321"/>
      <c r="K945" s="321"/>
      <c r="L945" s="321"/>
      <c r="M945" s="321"/>
      <c r="N945" s="321"/>
      <c r="O945" s="321"/>
      <c r="P945" s="321"/>
      <c r="Q945" s="321"/>
      <c r="R945" s="321"/>
      <c r="S945" s="321"/>
      <c r="T945" s="321"/>
      <c r="U945" s="321"/>
      <c r="V945" s="321"/>
      <c r="W945" s="321"/>
      <c r="X945" s="321"/>
      <c r="Y945" s="322"/>
    </row>
    <row r="946" spans="1:25" x14ac:dyDescent="0.25">
      <c r="A946" s="320"/>
      <c r="B946" s="321"/>
      <c r="C946" s="321"/>
      <c r="D946" s="321"/>
      <c r="E946" s="321"/>
      <c r="F946" s="321"/>
      <c r="G946" s="321"/>
      <c r="H946" s="321"/>
      <c r="I946" s="321"/>
      <c r="J946" s="321"/>
      <c r="K946" s="321"/>
      <c r="L946" s="321"/>
      <c r="M946" s="321"/>
      <c r="N946" s="321"/>
      <c r="O946" s="321"/>
      <c r="P946" s="321"/>
      <c r="Q946" s="321"/>
      <c r="R946" s="321"/>
      <c r="S946" s="321"/>
      <c r="T946" s="321"/>
      <c r="U946" s="321"/>
      <c r="V946" s="321"/>
      <c r="W946" s="321"/>
      <c r="X946" s="321"/>
      <c r="Y946" s="322"/>
    </row>
    <row r="947" spans="1:25" x14ac:dyDescent="0.25">
      <c r="A947" s="320"/>
      <c r="B947" s="321"/>
      <c r="C947" s="321"/>
      <c r="D947" s="321"/>
      <c r="E947" s="321"/>
      <c r="F947" s="321"/>
      <c r="G947" s="321"/>
      <c r="H947" s="321"/>
      <c r="I947" s="321"/>
      <c r="J947" s="321"/>
      <c r="K947" s="321"/>
      <c r="L947" s="321"/>
      <c r="M947" s="321"/>
      <c r="N947" s="321"/>
      <c r="O947" s="321"/>
      <c r="P947" s="321"/>
      <c r="Q947" s="321"/>
      <c r="R947" s="321"/>
      <c r="S947" s="321"/>
      <c r="T947" s="321"/>
      <c r="U947" s="321"/>
      <c r="V947" s="321"/>
      <c r="W947" s="321"/>
      <c r="X947" s="321"/>
      <c r="Y947" s="322"/>
    </row>
    <row r="948" spans="1:25" x14ac:dyDescent="0.25">
      <c r="A948" s="320"/>
      <c r="B948" s="321"/>
      <c r="C948" s="321"/>
      <c r="D948" s="321"/>
      <c r="E948" s="321"/>
      <c r="F948" s="321"/>
      <c r="G948" s="321"/>
      <c r="H948" s="321"/>
      <c r="I948" s="321"/>
      <c r="J948" s="321"/>
      <c r="K948" s="321"/>
      <c r="L948" s="321"/>
      <c r="M948" s="321"/>
      <c r="N948" s="321"/>
      <c r="O948" s="321"/>
      <c r="P948" s="321"/>
      <c r="Q948" s="321"/>
      <c r="R948" s="321"/>
      <c r="S948" s="321"/>
      <c r="T948" s="321"/>
      <c r="U948" s="321"/>
      <c r="V948" s="321"/>
      <c r="W948" s="321"/>
      <c r="X948" s="321"/>
      <c r="Y948" s="322"/>
    </row>
    <row r="949" spans="1:25" ht="15.75" thickBot="1" x14ac:dyDescent="0.3">
      <c r="A949" s="323"/>
      <c r="B949" s="324"/>
      <c r="C949" s="324"/>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5"/>
    </row>
    <row r="951" spans="1:25" ht="15.75" thickBot="1" x14ac:dyDescent="0.3">
      <c r="A951" s="326" t="s">
        <v>27</v>
      </c>
      <c r="B951" s="326"/>
      <c r="C951" s="326"/>
      <c r="D951" s="326"/>
      <c r="E951" s="326"/>
      <c r="F951" s="326"/>
      <c r="G951" s="326"/>
      <c r="H951" s="326"/>
    </row>
    <row r="952" spans="1:25" ht="15.75" thickBot="1" x14ac:dyDescent="0.3">
      <c r="A952" s="327" t="s">
        <v>272</v>
      </c>
      <c r="B952" s="328"/>
      <c r="C952" s="328"/>
      <c r="D952" s="328"/>
      <c r="E952" s="328"/>
      <c r="F952" s="328"/>
      <c r="G952" s="328"/>
      <c r="H952" s="328"/>
      <c r="I952" s="328"/>
      <c r="J952" s="328"/>
      <c r="K952" s="328"/>
      <c r="L952" s="328"/>
      <c r="M952" s="328"/>
      <c r="N952" s="328"/>
      <c r="O952" s="328"/>
      <c r="P952" s="328"/>
      <c r="Q952" s="328"/>
      <c r="R952" s="328"/>
      <c r="S952" s="328"/>
      <c r="T952" s="328"/>
      <c r="U952" s="328"/>
      <c r="V952" s="328"/>
      <c r="W952" s="328"/>
      <c r="X952" s="328"/>
      <c r="Y952" s="329"/>
    </row>
    <row r="954" spans="1:25" ht="15.75" thickBot="1" x14ac:dyDescent="0.3">
      <c r="A954" s="326" t="s">
        <v>121</v>
      </c>
      <c r="B954" s="326"/>
      <c r="C954" s="326"/>
      <c r="E954" s="326" t="s">
        <v>122</v>
      </c>
      <c r="F954" s="326"/>
      <c r="G954" s="326"/>
    </row>
    <row r="955" spans="1:25" ht="15.75" thickBot="1" x14ac:dyDescent="0.3">
      <c r="A955" s="330" t="s">
        <v>66</v>
      </c>
      <c r="B955" s="331"/>
      <c r="E955" s="330" t="s">
        <v>66</v>
      </c>
      <c r="F955" s="331"/>
    </row>
    <row r="957" spans="1:25" s="12" customFormat="1" x14ac:dyDescent="0.25"/>
    <row r="959" spans="1:25" ht="19.5" thickBot="1" x14ac:dyDescent="0.35">
      <c r="A959" s="332" t="s">
        <v>99</v>
      </c>
      <c r="B959" s="332"/>
      <c r="C959" s="332"/>
      <c r="D959" s="332"/>
      <c r="E959" s="332"/>
      <c r="F959" s="332"/>
      <c r="H959" s="332" t="s">
        <v>350</v>
      </c>
      <c r="I959" s="332"/>
      <c r="J959" s="332"/>
    </row>
    <row r="960" spans="1:25" x14ac:dyDescent="0.25">
      <c r="A960" s="317" t="s">
        <v>403</v>
      </c>
      <c r="B960" s="318"/>
      <c r="C960" s="318"/>
      <c r="D960" s="318"/>
      <c r="E960" s="318"/>
      <c r="F960" s="318"/>
      <c r="G960" s="318"/>
      <c r="H960" s="318"/>
      <c r="I960" s="318"/>
      <c r="J960" s="318"/>
      <c r="K960" s="318"/>
      <c r="L960" s="318"/>
      <c r="M960" s="318"/>
      <c r="N960" s="318"/>
      <c r="O960" s="318"/>
      <c r="P960" s="318"/>
      <c r="Q960" s="318"/>
      <c r="R960" s="318"/>
      <c r="S960" s="318"/>
      <c r="T960" s="318"/>
      <c r="U960" s="318"/>
      <c r="V960" s="318"/>
      <c r="W960" s="318"/>
      <c r="X960" s="318"/>
      <c r="Y960" s="319"/>
    </row>
    <row r="961" spans="1:25" x14ac:dyDescent="0.25">
      <c r="A961" s="320"/>
      <c r="B961" s="321"/>
      <c r="C961" s="321"/>
      <c r="D961" s="321"/>
      <c r="E961" s="321"/>
      <c r="F961" s="321"/>
      <c r="G961" s="321"/>
      <c r="H961" s="321"/>
      <c r="I961" s="321"/>
      <c r="J961" s="321"/>
      <c r="K961" s="321"/>
      <c r="L961" s="321"/>
      <c r="M961" s="321"/>
      <c r="N961" s="321"/>
      <c r="O961" s="321"/>
      <c r="P961" s="321"/>
      <c r="Q961" s="321"/>
      <c r="R961" s="321"/>
      <c r="S961" s="321"/>
      <c r="T961" s="321"/>
      <c r="U961" s="321"/>
      <c r="V961" s="321"/>
      <c r="W961" s="321"/>
      <c r="X961" s="321"/>
      <c r="Y961" s="322"/>
    </row>
    <row r="962" spans="1:25" x14ac:dyDescent="0.25">
      <c r="A962" s="320"/>
      <c r="B962" s="321"/>
      <c r="C962" s="321"/>
      <c r="D962" s="321"/>
      <c r="E962" s="321"/>
      <c r="F962" s="321"/>
      <c r="G962" s="321"/>
      <c r="H962" s="321"/>
      <c r="I962" s="321"/>
      <c r="J962" s="321"/>
      <c r="K962" s="321"/>
      <c r="L962" s="321"/>
      <c r="M962" s="321"/>
      <c r="N962" s="321"/>
      <c r="O962" s="321"/>
      <c r="P962" s="321"/>
      <c r="Q962" s="321"/>
      <c r="R962" s="321"/>
      <c r="S962" s="321"/>
      <c r="T962" s="321"/>
      <c r="U962" s="321"/>
      <c r="V962" s="321"/>
      <c r="W962" s="321"/>
      <c r="X962" s="321"/>
      <c r="Y962" s="322"/>
    </row>
    <row r="963" spans="1:25" x14ac:dyDescent="0.25">
      <c r="A963" s="320"/>
      <c r="B963" s="321"/>
      <c r="C963" s="321"/>
      <c r="D963" s="321"/>
      <c r="E963" s="321"/>
      <c r="F963" s="321"/>
      <c r="G963" s="321"/>
      <c r="H963" s="321"/>
      <c r="I963" s="321"/>
      <c r="J963" s="321"/>
      <c r="K963" s="321"/>
      <c r="L963" s="321"/>
      <c r="M963" s="321"/>
      <c r="N963" s="321"/>
      <c r="O963" s="321"/>
      <c r="P963" s="321"/>
      <c r="Q963" s="321"/>
      <c r="R963" s="321"/>
      <c r="S963" s="321"/>
      <c r="T963" s="321"/>
      <c r="U963" s="321"/>
      <c r="V963" s="321"/>
      <c r="W963" s="321"/>
      <c r="X963" s="321"/>
      <c r="Y963" s="322"/>
    </row>
    <row r="964" spans="1:25" x14ac:dyDescent="0.25">
      <c r="A964" s="320"/>
      <c r="B964" s="321"/>
      <c r="C964" s="321"/>
      <c r="D964" s="321"/>
      <c r="E964" s="321"/>
      <c r="F964" s="321"/>
      <c r="G964" s="321"/>
      <c r="H964" s="321"/>
      <c r="I964" s="321"/>
      <c r="J964" s="321"/>
      <c r="K964" s="321"/>
      <c r="L964" s="321"/>
      <c r="M964" s="321"/>
      <c r="N964" s="321"/>
      <c r="O964" s="321"/>
      <c r="P964" s="321"/>
      <c r="Q964" s="321"/>
      <c r="R964" s="321"/>
      <c r="S964" s="321"/>
      <c r="T964" s="321"/>
      <c r="U964" s="321"/>
      <c r="V964" s="321"/>
      <c r="W964" s="321"/>
      <c r="X964" s="321"/>
      <c r="Y964" s="322"/>
    </row>
    <row r="965" spans="1:25" x14ac:dyDescent="0.25">
      <c r="A965" s="320"/>
      <c r="B965" s="321"/>
      <c r="C965" s="321"/>
      <c r="D965" s="321"/>
      <c r="E965" s="321"/>
      <c r="F965" s="321"/>
      <c r="G965" s="321"/>
      <c r="H965" s="321"/>
      <c r="I965" s="321"/>
      <c r="J965" s="321"/>
      <c r="K965" s="321"/>
      <c r="L965" s="321"/>
      <c r="M965" s="321"/>
      <c r="N965" s="321"/>
      <c r="O965" s="321"/>
      <c r="P965" s="321"/>
      <c r="Q965" s="321"/>
      <c r="R965" s="321"/>
      <c r="S965" s="321"/>
      <c r="T965" s="321"/>
      <c r="U965" s="321"/>
      <c r="V965" s="321"/>
      <c r="W965" s="321"/>
      <c r="X965" s="321"/>
      <c r="Y965" s="322"/>
    </row>
    <row r="966" spans="1:25" x14ac:dyDescent="0.25">
      <c r="A966" s="320"/>
      <c r="B966" s="321"/>
      <c r="C966" s="321"/>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2"/>
    </row>
    <row r="967" spans="1:25" x14ac:dyDescent="0.25">
      <c r="A967" s="320"/>
      <c r="B967" s="321"/>
      <c r="C967" s="321"/>
      <c r="D967" s="321"/>
      <c r="E967" s="321"/>
      <c r="F967" s="321"/>
      <c r="G967" s="321"/>
      <c r="H967" s="321"/>
      <c r="I967" s="321"/>
      <c r="J967" s="321"/>
      <c r="K967" s="321"/>
      <c r="L967" s="321"/>
      <c r="M967" s="321"/>
      <c r="N967" s="321"/>
      <c r="O967" s="321"/>
      <c r="P967" s="321"/>
      <c r="Q967" s="321"/>
      <c r="R967" s="321"/>
      <c r="S967" s="321"/>
      <c r="T967" s="321"/>
      <c r="U967" s="321"/>
      <c r="V967" s="321"/>
      <c r="W967" s="321"/>
      <c r="X967" s="321"/>
      <c r="Y967" s="322"/>
    </row>
    <row r="968" spans="1:25" x14ac:dyDescent="0.25">
      <c r="A968" s="320"/>
      <c r="B968" s="321"/>
      <c r="C968" s="321"/>
      <c r="D968" s="321"/>
      <c r="E968" s="321"/>
      <c r="F968" s="321"/>
      <c r="G968" s="321"/>
      <c r="H968" s="321"/>
      <c r="I968" s="321"/>
      <c r="J968" s="321"/>
      <c r="K968" s="321"/>
      <c r="L968" s="321"/>
      <c r="M968" s="321"/>
      <c r="N968" s="321"/>
      <c r="O968" s="321"/>
      <c r="P968" s="321"/>
      <c r="Q968" s="321"/>
      <c r="R968" s="321"/>
      <c r="S968" s="321"/>
      <c r="T968" s="321"/>
      <c r="U968" s="321"/>
      <c r="V968" s="321"/>
      <c r="W968" s="321"/>
      <c r="X968" s="321"/>
      <c r="Y968" s="322"/>
    </row>
    <row r="969" spans="1:25" x14ac:dyDescent="0.25">
      <c r="A969" s="320"/>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2"/>
    </row>
    <row r="970" spans="1:25" x14ac:dyDescent="0.25">
      <c r="A970" s="320"/>
      <c r="B970" s="321"/>
      <c r="C970" s="321"/>
      <c r="D970" s="321"/>
      <c r="E970" s="321"/>
      <c r="F970" s="321"/>
      <c r="G970" s="321"/>
      <c r="H970" s="321"/>
      <c r="I970" s="321"/>
      <c r="J970" s="321"/>
      <c r="K970" s="321"/>
      <c r="L970" s="321"/>
      <c r="M970" s="321"/>
      <c r="N970" s="321"/>
      <c r="O970" s="321"/>
      <c r="P970" s="321"/>
      <c r="Q970" s="321"/>
      <c r="R970" s="321"/>
      <c r="S970" s="321"/>
      <c r="T970" s="321"/>
      <c r="U970" s="321"/>
      <c r="V970" s="321"/>
      <c r="W970" s="321"/>
      <c r="X970" s="321"/>
      <c r="Y970" s="322"/>
    </row>
    <row r="971" spans="1:25" x14ac:dyDescent="0.25">
      <c r="A971" s="320"/>
      <c r="B971" s="321"/>
      <c r="C971" s="321"/>
      <c r="D971" s="321"/>
      <c r="E971" s="321"/>
      <c r="F971" s="321"/>
      <c r="G971" s="321"/>
      <c r="H971" s="321"/>
      <c r="I971" s="321"/>
      <c r="J971" s="321"/>
      <c r="K971" s="321"/>
      <c r="L971" s="321"/>
      <c r="M971" s="321"/>
      <c r="N971" s="321"/>
      <c r="O971" s="321"/>
      <c r="P971" s="321"/>
      <c r="Q971" s="321"/>
      <c r="R971" s="321"/>
      <c r="S971" s="321"/>
      <c r="T971" s="321"/>
      <c r="U971" s="321"/>
      <c r="V971" s="321"/>
      <c r="W971" s="321"/>
      <c r="X971" s="321"/>
      <c r="Y971" s="322"/>
    </row>
    <row r="972" spans="1:25" x14ac:dyDescent="0.25">
      <c r="A972" s="320"/>
      <c r="B972" s="321"/>
      <c r="C972" s="321"/>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2"/>
    </row>
    <row r="973" spans="1:25" ht="15.75" thickBot="1" x14ac:dyDescent="0.3">
      <c r="A973" s="323"/>
      <c r="B973" s="324"/>
      <c r="C973" s="324"/>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5"/>
    </row>
    <row r="975" spans="1:25" ht="15.75" thickBot="1" x14ac:dyDescent="0.3">
      <c r="A975" s="326" t="s">
        <v>29</v>
      </c>
      <c r="B975" s="326"/>
      <c r="C975" s="326"/>
      <c r="D975" s="326"/>
    </row>
    <row r="976" spans="1:25" x14ac:dyDescent="0.25">
      <c r="A976" s="317" t="s">
        <v>361</v>
      </c>
      <c r="B976" s="318"/>
      <c r="C976" s="318"/>
      <c r="D976" s="318"/>
      <c r="E976" s="318"/>
      <c r="F976" s="318"/>
      <c r="G976" s="318"/>
      <c r="H976" s="318"/>
      <c r="I976" s="318"/>
      <c r="J976" s="318"/>
      <c r="K976" s="318"/>
      <c r="L976" s="318"/>
      <c r="M976" s="318"/>
      <c r="N976" s="318"/>
      <c r="O976" s="318"/>
      <c r="P976" s="318"/>
      <c r="Q976" s="318"/>
      <c r="R976" s="318"/>
      <c r="S976" s="318"/>
      <c r="T976" s="318"/>
      <c r="U976" s="318"/>
      <c r="V976" s="318"/>
      <c r="W976" s="318"/>
      <c r="X976" s="318"/>
      <c r="Y976" s="319"/>
    </row>
    <row r="977" spans="1:25" x14ac:dyDescent="0.25">
      <c r="A977" s="320"/>
      <c r="B977" s="321"/>
      <c r="C977" s="321"/>
      <c r="D977" s="321"/>
      <c r="E977" s="321"/>
      <c r="F977" s="321"/>
      <c r="G977" s="321"/>
      <c r="H977" s="321"/>
      <c r="I977" s="321"/>
      <c r="J977" s="321"/>
      <c r="K977" s="321"/>
      <c r="L977" s="321"/>
      <c r="M977" s="321"/>
      <c r="N977" s="321"/>
      <c r="O977" s="321"/>
      <c r="P977" s="321"/>
      <c r="Q977" s="321"/>
      <c r="R977" s="321"/>
      <c r="S977" s="321"/>
      <c r="T977" s="321"/>
      <c r="U977" s="321"/>
      <c r="V977" s="321"/>
      <c r="W977" s="321"/>
      <c r="X977" s="321"/>
      <c r="Y977" s="322"/>
    </row>
    <row r="978" spans="1:25" x14ac:dyDescent="0.25">
      <c r="A978" s="320"/>
      <c r="B978" s="321"/>
      <c r="C978" s="321"/>
      <c r="D978" s="321"/>
      <c r="E978" s="321"/>
      <c r="F978" s="321"/>
      <c r="G978" s="321"/>
      <c r="H978" s="321"/>
      <c r="I978" s="321"/>
      <c r="J978" s="321"/>
      <c r="K978" s="321"/>
      <c r="L978" s="321"/>
      <c r="M978" s="321"/>
      <c r="N978" s="321"/>
      <c r="O978" s="321"/>
      <c r="P978" s="321"/>
      <c r="Q978" s="321"/>
      <c r="R978" s="321"/>
      <c r="S978" s="321"/>
      <c r="T978" s="321"/>
      <c r="U978" s="321"/>
      <c r="V978" s="321"/>
      <c r="W978" s="321"/>
      <c r="X978" s="321"/>
      <c r="Y978" s="322"/>
    </row>
    <row r="979" spans="1:25" x14ac:dyDescent="0.25">
      <c r="A979" s="320"/>
      <c r="B979" s="321"/>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c r="Y979" s="322"/>
    </row>
    <row r="980" spans="1:25" x14ac:dyDescent="0.25">
      <c r="A980" s="320"/>
      <c r="B980" s="321"/>
      <c r="C980" s="321"/>
      <c r="D980" s="321"/>
      <c r="E980" s="321"/>
      <c r="F980" s="321"/>
      <c r="G980" s="321"/>
      <c r="H980" s="321"/>
      <c r="I980" s="321"/>
      <c r="J980" s="321"/>
      <c r="K980" s="321"/>
      <c r="L980" s="321"/>
      <c r="M980" s="321"/>
      <c r="N980" s="321"/>
      <c r="O980" s="321"/>
      <c r="P980" s="321"/>
      <c r="Q980" s="321"/>
      <c r="R980" s="321"/>
      <c r="S980" s="321"/>
      <c r="T980" s="321"/>
      <c r="U980" s="321"/>
      <c r="V980" s="321"/>
      <c r="W980" s="321"/>
      <c r="X980" s="321"/>
      <c r="Y980" s="322"/>
    </row>
    <row r="981" spans="1:25" x14ac:dyDescent="0.25">
      <c r="A981" s="320"/>
      <c r="B981" s="321"/>
      <c r="C981" s="321"/>
      <c r="D981" s="321"/>
      <c r="E981" s="321"/>
      <c r="F981" s="321"/>
      <c r="G981" s="321"/>
      <c r="H981" s="321"/>
      <c r="I981" s="321"/>
      <c r="J981" s="321"/>
      <c r="K981" s="321"/>
      <c r="L981" s="321"/>
      <c r="M981" s="321"/>
      <c r="N981" s="321"/>
      <c r="O981" s="321"/>
      <c r="P981" s="321"/>
      <c r="Q981" s="321"/>
      <c r="R981" s="321"/>
      <c r="S981" s="321"/>
      <c r="T981" s="321"/>
      <c r="U981" s="321"/>
      <c r="V981" s="321"/>
      <c r="W981" s="321"/>
      <c r="X981" s="321"/>
      <c r="Y981" s="322"/>
    </row>
    <row r="982" spans="1:25" ht="15.75" thickBot="1" x14ac:dyDescent="0.3">
      <c r="A982" s="323"/>
      <c r="B982" s="324"/>
      <c r="C982" s="324"/>
      <c r="D982" s="324"/>
      <c r="E982" s="324"/>
      <c r="F982" s="324"/>
      <c r="G982" s="324"/>
      <c r="H982" s="324"/>
      <c r="I982" s="324"/>
      <c r="J982" s="324"/>
      <c r="K982" s="324"/>
      <c r="L982" s="324"/>
      <c r="M982" s="324"/>
      <c r="N982" s="324"/>
      <c r="O982" s="324"/>
      <c r="P982" s="324"/>
      <c r="Q982" s="324"/>
      <c r="R982" s="324"/>
      <c r="S982" s="324"/>
      <c r="T982" s="324"/>
      <c r="U982" s="324"/>
      <c r="V982" s="324"/>
      <c r="W982" s="324"/>
      <c r="X982" s="324"/>
      <c r="Y982" s="325"/>
    </row>
    <row r="984" spans="1:25" ht="15.75" thickBot="1" x14ac:dyDescent="0.3">
      <c r="A984" s="326" t="s">
        <v>27</v>
      </c>
      <c r="B984" s="326"/>
      <c r="C984" s="326"/>
      <c r="D984" s="326"/>
      <c r="E984" s="326"/>
      <c r="F984" s="326"/>
      <c r="G984" s="326"/>
      <c r="H984" s="326"/>
    </row>
    <row r="985" spans="1:25" ht="15.75" thickBot="1" x14ac:dyDescent="0.3">
      <c r="A985" s="327" t="s">
        <v>362</v>
      </c>
      <c r="B985" s="328"/>
      <c r="C985" s="328"/>
      <c r="D985" s="328"/>
      <c r="E985" s="328"/>
      <c r="F985" s="328"/>
      <c r="G985" s="328"/>
      <c r="H985" s="328"/>
      <c r="I985" s="328"/>
      <c r="J985" s="328"/>
      <c r="K985" s="328"/>
      <c r="L985" s="328"/>
      <c r="M985" s="328"/>
      <c r="N985" s="328"/>
      <c r="O985" s="328"/>
      <c r="P985" s="328"/>
      <c r="Q985" s="328"/>
      <c r="R985" s="328"/>
      <c r="S985" s="328"/>
      <c r="T985" s="328"/>
      <c r="U985" s="328"/>
      <c r="V985" s="328"/>
      <c r="W985" s="328"/>
      <c r="X985" s="328"/>
      <c r="Y985" s="329"/>
    </row>
    <row r="987" spans="1:25" ht="15.75" thickBot="1" x14ac:dyDescent="0.3">
      <c r="A987" s="326" t="s">
        <v>121</v>
      </c>
      <c r="B987" s="326"/>
      <c r="C987" s="326"/>
      <c r="E987" s="326" t="s">
        <v>122</v>
      </c>
      <c r="F987" s="326"/>
      <c r="G987" s="326"/>
    </row>
    <row r="988" spans="1:25" ht="15.75" thickBot="1" x14ac:dyDescent="0.3">
      <c r="A988" s="330" t="s">
        <v>66</v>
      </c>
      <c r="B988" s="331"/>
      <c r="E988" s="330" t="s">
        <v>66</v>
      </c>
      <c r="F988" s="331"/>
    </row>
    <row r="990" spans="1:25" s="12" customFormat="1" x14ac:dyDescent="0.25"/>
    <row r="992" spans="1:25" ht="19.5" thickBot="1" x14ac:dyDescent="0.35">
      <c r="A992" s="332" t="s">
        <v>100</v>
      </c>
      <c r="B992" s="332"/>
      <c r="C992" s="332"/>
      <c r="D992" s="332"/>
      <c r="E992" s="332"/>
      <c r="F992" s="332"/>
      <c r="H992" s="332" t="s">
        <v>432</v>
      </c>
      <c r="I992" s="332"/>
      <c r="J992" s="332"/>
    </row>
    <row r="993" spans="1:25" x14ac:dyDescent="0.25">
      <c r="A993" s="317" t="s">
        <v>441</v>
      </c>
      <c r="B993" s="318"/>
      <c r="C993" s="318"/>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319"/>
    </row>
    <row r="994" spans="1:25" x14ac:dyDescent="0.25">
      <c r="A994" s="320"/>
      <c r="B994" s="321"/>
      <c r="C994" s="321"/>
      <c r="D994" s="321"/>
      <c r="E994" s="321"/>
      <c r="F994" s="321"/>
      <c r="G994" s="321"/>
      <c r="H994" s="321"/>
      <c r="I994" s="321"/>
      <c r="J994" s="321"/>
      <c r="K994" s="321"/>
      <c r="L994" s="321"/>
      <c r="M994" s="321"/>
      <c r="N994" s="321"/>
      <c r="O994" s="321"/>
      <c r="P994" s="321"/>
      <c r="Q994" s="321"/>
      <c r="R994" s="321"/>
      <c r="S994" s="321"/>
      <c r="T994" s="321"/>
      <c r="U994" s="321"/>
      <c r="V994" s="321"/>
      <c r="W994" s="321"/>
      <c r="X994" s="321"/>
      <c r="Y994" s="322"/>
    </row>
    <row r="995" spans="1:25" x14ac:dyDescent="0.25">
      <c r="A995" s="320"/>
      <c r="B995" s="321"/>
      <c r="C995" s="321"/>
      <c r="D995" s="321"/>
      <c r="E995" s="321"/>
      <c r="F995" s="321"/>
      <c r="G995" s="321"/>
      <c r="H995" s="321"/>
      <c r="I995" s="321"/>
      <c r="J995" s="321"/>
      <c r="K995" s="321"/>
      <c r="L995" s="321"/>
      <c r="M995" s="321"/>
      <c r="N995" s="321"/>
      <c r="O995" s="321"/>
      <c r="P995" s="321"/>
      <c r="Q995" s="321"/>
      <c r="R995" s="321"/>
      <c r="S995" s="321"/>
      <c r="T995" s="321"/>
      <c r="U995" s="321"/>
      <c r="V995" s="321"/>
      <c r="W995" s="321"/>
      <c r="X995" s="321"/>
      <c r="Y995" s="322"/>
    </row>
    <row r="996" spans="1:25" x14ac:dyDescent="0.25">
      <c r="A996" s="320"/>
      <c r="B996" s="321"/>
      <c r="C996" s="321"/>
      <c r="D996" s="321"/>
      <c r="E996" s="321"/>
      <c r="F996" s="321"/>
      <c r="G996" s="321"/>
      <c r="H996" s="321"/>
      <c r="I996" s="321"/>
      <c r="J996" s="321"/>
      <c r="K996" s="321"/>
      <c r="L996" s="321"/>
      <c r="M996" s="321"/>
      <c r="N996" s="321"/>
      <c r="O996" s="321"/>
      <c r="P996" s="321"/>
      <c r="Q996" s="321"/>
      <c r="R996" s="321"/>
      <c r="S996" s="321"/>
      <c r="T996" s="321"/>
      <c r="U996" s="321"/>
      <c r="V996" s="321"/>
      <c r="W996" s="321"/>
      <c r="X996" s="321"/>
      <c r="Y996" s="322"/>
    </row>
    <row r="997" spans="1:25" x14ac:dyDescent="0.25">
      <c r="A997" s="320"/>
      <c r="B997" s="321"/>
      <c r="C997" s="321"/>
      <c r="D997" s="321"/>
      <c r="E997" s="321"/>
      <c r="F997" s="321"/>
      <c r="G997" s="321"/>
      <c r="H997" s="321"/>
      <c r="I997" s="321"/>
      <c r="J997" s="321"/>
      <c r="K997" s="321"/>
      <c r="L997" s="321"/>
      <c r="M997" s="321"/>
      <c r="N997" s="321"/>
      <c r="O997" s="321"/>
      <c r="P997" s="321"/>
      <c r="Q997" s="321"/>
      <c r="R997" s="321"/>
      <c r="S997" s="321"/>
      <c r="T997" s="321"/>
      <c r="U997" s="321"/>
      <c r="V997" s="321"/>
      <c r="W997" s="321"/>
      <c r="X997" s="321"/>
      <c r="Y997" s="322"/>
    </row>
    <row r="998" spans="1:25" x14ac:dyDescent="0.25">
      <c r="A998" s="320"/>
      <c r="B998" s="321"/>
      <c r="C998" s="321"/>
      <c r="D998" s="321"/>
      <c r="E998" s="321"/>
      <c r="F998" s="321"/>
      <c r="G998" s="321"/>
      <c r="H998" s="321"/>
      <c r="I998" s="321"/>
      <c r="J998" s="321"/>
      <c r="K998" s="321"/>
      <c r="L998" s="321"/>
      <c r="M998" s="321"/>
      <c r="N998" s="321"/>
      <c r="O998" s="321"/>
      <c r="P998" s="321"/>
      <c r="Q998" s="321"/>
      <c r="R998" s="321"/>
      <c r="S998" s="321"/>
      <c r="T998" s="321"/>
      <c r="U998" s="321"/>
      <c r="V998" s="321"/>
      <c r="W998" s="321"/>
      <c r="X998" s="321"/>
      <c r="Y998" s="322"/>
    </row>
    <row r="999" spans="1:25" x14ac:dyDescent="0.25">
      <c r="A999" s="320"/>
      <c r="B999" s="321"/>
      <c r="C999" s="321"/>
      <c r="D999" s="321"/>
      <c r="E999" s="321"/>
      <c r="F999" s="321"/>
      <c r="G999" s="321"/>
      <c r="H999" s="321"/>
      <c r="I999" s="321"/>
      <c r="J999" s="321"/>
      <c r="K999" s="321"/>
      <c r="L999" s="321"/>
      <c r="M999" s="321"/>
      <c r="N999" s="321"/>
      <c r="O999" s="321"/>
      <c r="P999" s="321"/>
      <c r="Q999" s="321"/>
      <c r="R999" s="321"/>
      <c r="S999" s="321"/>
      <c r="T999" s="321"/>
      <c r="U999" s="321"/>
      <c r="V999" s="321"/>
      <c r="W999" s="321"/>
      <c r="X999" s="321"/>
      <c r="Y999" s="322"/>
    </row>
    <row r="1000" spans="1:25" x14ac:dyDescent="0.25">
      <c r="A1000" s="320"/>
      <c r="B1000" s="321"/>
      <c r="C1000" s="321"/>
      <c r="D1000" s="321"/>
      <c r="E1000" s="321"/>
      <c r="F1000" s="321"/>
      <c r="G1000" s="321"/>
      <c r="H1000" s="321"/>
      <c r="I1000" s="321"/>
      <c r="J1000" s="321"/>
      <c r="K1000" s="321"/>
      <c r="L1000" s="321"/>
      <c r="M1000" s="321"/>
      <c r="N1000" s="321"/>
      <c r="O1000" s="321"/>
      <c r="P1000" s="321"/>
      <c r="Q1000" s="321"/>
      <c r="R1000" s="321"/>
      <c r="S1000" s="321"/>
      <c r="T1000" s="321"/>
      <c r="U1000" s="321"/>
      <c r="V1000" s="321"/>
      <c r="W1000" s="321"/>
      <c r="X1000" s="321"/>
      <c r="Y1000" s="322"/>
    </row>
    <row r="1001" spans="1:25" x14ac:dyDescent="0.25">
      <c r="A1001" s="320"/>
      <c r="B1001" s="321"/>
      <c r="C1001" s="321"/>
      <c r="D1001" s="321"/>
      <c r="E1001" s="321"/>
      <c r="F1001" s="321"/>
      <c r="G1001" s="321"/>
      <c r="H1001" s="321"/>
      <c r="I1001" s="321"/>
      <c r="J1001" s="321"/>
      <c r="K1001" s="321"/>
      <c r="L1001" s="321"/>
      <c r="M1001" s="321"/>
      <c r="N1001" s="321"/>
      <c r="O1001" s="321"/>
      <c r="P1001" s="321"/>
      <c r="Q1001" s="321"/>
      <c r="R1001" s="321"/>
      <c r="S1001" s="321"/>
      <c r="T1001" s="321"/>
      <c r="U1001" s="321"/>
      <c r="V1001" s="321"/>
      <c r="W1001" s="321"/>
      <c r="X1001" s="321"/>
      <c r="Y1001" s="322"/>
    </row>
    <row r="1002" spans="1:25" x14ac:dyDescent="0.25">
      <c r="A1002" s="320"/>
      <c r="B1002" s="321"/>
      <c r="C1002" s="321"/>
      <c r="D1002" s="321"/>
      <c r="E1002" s="321"/>
      <c r="F1002" s="321"/>
      <c r="G1002" s="321"/>
      <c r="H1002" s="321"/>
      <c r="I1002" s="321"/>
      <c r="J1002" s="321"/>
      <c r="K1002" s="321"/>
      <c r="L1002" s="321"/>
      <c r="M1002" s="321"/>
      <c r="N1002" s="321"/>
      <c r="O1002" s="321"/>
      <c r="P1002" s="321"/>
      <c r="Q1002" s="321"/>
      <c r="R1002" s="321"/>
      <c r="S1002" s="321"/>
      <c r="T1002" s="321"/>
      <c r="U1002" s="321"/>
      <c r="V1002" s="321"/>
      <c r="W1002" s="321"/>
      <c r="X1002" s="321"/>
      <c r="Y1002" s="322"/>
    </row>
    <row r="1003" spans="1:25" x14ac:dyDescent="0.25">
      <c r="A1003" s="320"/>
      <c r="B1003" s="321"/>
      <c r="C1003" s="321"/>
      <c r="D1003" s="321"/>
      <c r="E1003" s="321"/>
      <c r="F1003" s="321"/>
      <c r="G1003" s="321"/>
      <c r="H1003" s="321"/>
      <c r="I1003" s="321"/>
      <c r="J1003" s="321"/>
      <c r="K1003" s="321"/>
      <c r="L1003" s="321"/>
      <c r="M1003" s="321"/>
      <c r="N1003" s="321"/>
      <c r="O1003" s="321"/>
      <c r="P1003" s="321"/>
      <c r="Q1003" s="321"/>
      <c r="R1003" s="321"/>
      <c r="S1003" s="321"/>
      <c r="T1003" s="321"/>
      <c r="U1003" s="321"/>
      <c r="V1003" s="321"/>
      <c r="W1003" s="321"/>
      <c r="X1003" s="321"/>
      <c r="Y1003" s="322"/>
    </row>
    <row r="1004" spans="1:25" x14ac:dyDescent="0.25">
      <c r="A1004" s="320"/>
      <c r="B1004" s="321"/>
      <c r="C1004" s="321"/>
      <c r="D1004" s="321"/>
      <c r="E1004" s="321"/>
      <c r="F1004" s="321"/>
      <c r="G1004" s="321"/>
      <c r="H1004" s="321"/>
      <c r="I1004" s="321"/>
      <c r="J1004" s="321"/>
      <c r="K1004" s="321"/>
      <c r="L1004" s="321"/>
      <c r="M1004" s="321"/>
      <c r="N1004" s="321"/>
      <c r="O1004" s="321"/>
      <c r="P1004" s="321"/>
      <c r="Q1004" s="321"/>
      <c r="R1004" s="321"/>
      <c r="S1004" s="321"/>
      <c r="T1004" s="321"/>
      <c r="U1004" s="321"/>
      <c r="V1004" s="321"/>
      <c r="W1004" s="321"/>
      <c r="X1004" s="321"/>
      <c r="Y1004" s="322"/>
    </row>
    <row r="1005" spans="1:25" x14ac:dyDescent="0.25">
      <c r="A1005" s="320"/>
      <c r="B1005" s="321"/>
      <c r="C1005" s="321"/>
      <c r="D1005" s="321"/>
      <c r="E1005" s="321"/>
      <c r="F1005" s="321"/>
      <c r="G1005" s="321"/>
      <c r="H1005" s="321"/>
      <c r="I1005" s="321"/>
      <c r="J1005" s="321"/>
      <c r="K1005" s="321"/>
      <c r="L1005" s="321"/>
      <c r="M1005" s="321"/>
      <c r="N1005" s="321"/>
      <c r="O1005" s="321"/>
      <c r="P1005" s="321"/>
      <c r="Q1005" s="321"/>
      <c r="R1005" s="321"/>
      <c r="S1005" s="321"/>
      <c r="T1005" s="321"/>
      <c r="U1005" s="321"/>
      <c r="V1005" s="321"/>
      <c r="W1005" s="321"/>
      <c r="X1005" s="321"/>
      <c r="Y1005" s="322"/>
    </row>
    <row r="1006" spans="1:25" ht="15.75" thickBot="1" x14ac:dyDescent="0.3">
      <c r="A1006" s="323"/>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5"/>
    </row>
    <row r="1008" spans="1:25" ht="15.75" thickBot="1" x14ac:dyDescent="0.3">
      <c r="A1008" s="326" t="s">
        <v>29</v>
      </c>
      <c r="B1008" s="326"/>
      <c r="C1008" s="326"/>
      <c r="D1008" s="326"/>
    </row>
    <row r="1009" spans="1:25" x14ac:dyDescent="0.25">
      <c r="A1009" s="317" t="s">
        <v>342</v>
      </c>
      <c r="B1009" s="318"/>
      <c r="C1009" s="318"/>
      <c r="D1009" s="318"/>
      <c r="E1009" s="318"/>
      <c r="F1009" s="318"/>
      <c r="G1009" s="318"/>
      <c r="H1009" s="318"/>
      <c r="I1009" s="318"/>
      <c r="J1009" s="318"/>
      <c r="K1009" s="318"/>
      <c r="L1009" s="318"/>
      <c r="M1009" s="318"/>
      <c r="N1009" s="318"/>
      <c r="O1009" s="318"/>
      <c r="P1009" s="318"/>
      <c r="Q1009" s="318"/>
      <c r="R1009" s="318"/>
      <c r="S1009" s="318"/>
      <c r="T1009" s="318"/>
      <c r="U1009" s="318"/>
      <c r="V1009" s="318"/>
      <c r="W1009" s="318"/>
      <c r="X1009" s="318"/>
      <c r="Y1009" s="319"/>
    </row>
    <row r="1010" spans="1:25" x14ac:dyDescent="0.25">
      <c r="A1010" s="320"/>
      <c r="B1010" s="321"/>
      <c r="C1010" s="321"/>
      <c r="D1010" s="321"/>
      <c r="E1010" s="321"/>
      <c r="F1010" s="321"/>
      <c r="G1010" s="321"/>
      <c r="H1010" s="321"/>
      <c r="I1010" s="321"/>
      <c r="J1010" s="321"/>
      <c r="K1010" s="321"/>
      <c r="L1010" s="321"/>
      <c r="M1010" s="321"/>
      <c r="N1010" s="321"/>
      <c r="O1010" s="321"/>
      <c r="P1010" s="321"/>
      <c r="Q1010" s="321"/>
      <c r="R1010" s="321"/>
      <c r="S1010" s="321"/>
      <c r="T1010" s="321"/>
      <c r="U1010" s="321"/>
      <c r="V1010" s="321"/>
      <c r="W1010" s="321"/>
      <c r="X1010" s="321"/>
      <c r="Y1010" s="322"/>
    </row>
    <row r="1011" spans="1:25" x14ac:dyDescent="0.25">
      <c r="A1011" s="320"/>
      <c r="B1011" s="321"/>
      <c r="C1011" s="321"/>
      <c r="D1011" s="321"/>
      <c r="E1011" s="321"/>
      <c r="F1011" s="321"/>
      <c r="G1011" s="321"/>
      <c r="H1011" s="321"/>
      <c r="I1011" s="321"/>
      <c r="J1011" s="321"/>
      <c r="K1011" s="321"/>
      <c r="L1011" s="321"/>
      <c r="M1011" s="321"/>
      <c r="N1011" s="321"/>
      <c r="O1011" s="321"/>
      <c r="P1011" s="321"/>
      <c r="Q1011" s="321"/>
      <c r="R1011" s="321"/>
      <c r="S1011" s="321"/>
      <c r="T1011" s="321"/>
      <c r="U1011" s="321"/>
      <c r="V1011" s="321"/>
      <c r="W1011" s="321"/>
      <c r="X1011" s="321"/>
      <c r="Y1011" s="322"/>
    </row>
    <row r="1012" spans="1:25" x14ac:dyDescent="0.25">
      <c r="A1012" s="320"/>
      <c r="B1012" s="321"/>
      <c r="C1012" s="321"/>
      <c r="D1012" s="321"/>
      <c r="E1012" s="321"/>
      <c r="F1012" s="321"/>
      <c r="G1012" s="321"/>
      <c r="H1012" s="321"/>
      <c r="I1012" s="321"/>
      <c r="J1012" s="321"/>
      <c r="K1012" s="321"/>
      <c r="L1012" s="321"/>
      <c r="M1012" s="321"/>
      <c r="N1012" s="321"/>
      <c r="O1012" s="321"/>
      <c r="P1012" s="321"/>
      <c r="Q1012" s="321"/>
      <c r="R1012" s="321"/>
      <c r="S1012" s="321"/>
      <c r="T1012" s="321"/>
      <c r="U1012" s="321"/>
      <c r="V1012" s="321"/>
      <c r="W1012" s="321"/>
      <c r="X1012" s="321"/>
      <c r="Y1012" s="322"/>
    </row>
    <row r="1013" spans="1:25" x14ac:dyDescent="0.25">
      <c r="A1013" s="320"/>
      <c r="B1013" s="321"/>
      <c r="C1013" s="321"/>
      <c r="D1013" s="321"/>
      <c r="E1013" s="321"/>
      <c r="F1013" s="321"/>
      <c r="G1013" s="321"/>
      <c r="H1013" s="321"/>
      <c r="I1013" s="321"/>
      <c r="J1013" s="321"/>
      <c r="K1013" s="321"/>
      <c r="L1013" s="321"/>
      <c r="M1013" s="321"/>
      <c r="N1013" s="321"/>
      <c r="O1013" s="321"/>
      <c r="P1013" s="321"/>
      <c r="Q1013" s="321"/>
      <c r="R1013" s="321"/>
      <c r="S1013" s="321"/>
      <c r="T1013" s="321"/>
      <c r="U1013" s="321"/>
      <c r="V1013" s="321"/>
      <c r="W1013" s="321"/>
      <c r="X1013" s="321"/>
      <c r="Y1013" s="322"/>
    </row>
    <row r="1014" spans="1:25" x14ac:dyDescent="0.25">
      <c r="A1014" s="320"/>
      <c r="B1014" s="321"/>
      <c r="C1014" s="321"/>
      <c r="D1014" s="321"/>
      <c r="E1014" s="321"/>
      <c r="F1014" s="321"/>
      <c r="G1014" s="321"/>
      <c r="H1014" s="321"/>
      <c r="I1014" s="321"/>
      <c r="J1014" s="321"/>
      <c r="K1014" s="321"/>
      <c r="L1014" s="321"/>
      <c r="M1014" s="321"/>
      <c r="N1014" s="321"/>
      <c r="O1014" s="321"/>
      <c r="P1014" s="321"/>
      <c r="Q1014" s="321"/>
      <c r="R1014" s="321"/>
      <c r="S1014" s="321"/>
      <c r="T1014" s="321"/>
      <c r="U1014" s="321"/>
      <c r="V1014" s="321"/>
      <c r="W1014" s="321"/>
      <c r="X1014" s="321"/>
      <c r="Y1014" s="322"/>
    </row>
    <row r="1015" spans="1:25" ht="15.75" thickBot="1" x14ac:dyDescent="0.3">
      <c r="A1015" s="323"/>
      <c r="B1015" s="324"/>
      <c r="C1015" s="324"/>
      <c r="D1015" s="324"/>
      <c r="E1015" s="324"/>
      <c r="F1015" s="324"/>
      <c r="G1015" s="324"/>
      <c r="H1015" s="324"/>
      <c r="I1015" s="324"/>
      <c r="J1015" s="324"/>
      <c r="K1015" s="324"/>
      <c r="L1015" s="324"/>
      <c r="M1015" s="324"/>
      <c r="N1015" s="324"/>
      <c r="O1015" s="324"/>
      <c r="P1015" s="324"/>
      <c r="Q1015" s="324"/>
      <c r="R1015" s="324"/>
      <c r="S1015" s="324"/>
      <c r="T1015" s="324"/>
      <c r="U1015" s="324"/>
      <c r="V1015" s="324"/>
      <c r="W1015" s="324"/>
      <c r="X1015" s="324"/>
      <c r="Y1015" s="325"/>
    </row>
    <row r="1017" spans="1:25" ht="15.75" thickBot="1" x14ac:dyDescent="0.3">
      <c r="A1017" s="326" t="s">
        <v>27</v>
      </c>
      <c r="B1017" s="326"/>
      <c r="C1017" s="326"/>
      <c r="D1017" s="326"/>
      <c r="E1017" s="326"/>
      <c r="F1017" s="326"/>
      <c r="G1017" s="326"/>
      <c r="H1017" s="326"/>
    </row>
    <row r="1018" spans="1:25" ht="15.75" thickBot="1" x14ac:dyDescent="0.3">
      <c r="A1018" s="327" t="s">
        <v>262</v>
      </c>
      <c r="B1018" s="328"/>
      <c r="C1018" s="328"/>
      <c r="D1018" s="328"/>
      <c r="E1018" s="328"/>
      <c r="F1018" s="328"/>
      <c r="G1018" s="328"/>
      <c r="H1018" s="328"/>
      <c r="I1018" s="328"/>
      <c r="J1018" s="328"/>
      <c r="K1018" s="328"/>
      <c r="L1018" s="328"/>
      <c r="M1018" s="328"/>
      <c r="N1018" s="328"/>
      <c r="O1018" s="328"/>
      <c r="P1018" s="328"/>
      <c r="Q1018" s="328"/>
      <c r="R1018" s="328"/>
      <c r="S1018" s="328"/>
      <c r="T1018" s="328"/>
      <c r="U1018" s="328"/>
      <c r="V1018" s="328"/>
      <c r="W1018" s="328"/>
      <c r="X1018" s="328"/>
      <c r="Y1018" s="329"/>
    </row>
    <row r="1020" spans="1:25" ht="15.75" thickBot="1" x14ac:dyDescent="0.3">
      <c r="A1020" s="326" t="s">
        <v>121</v>
      </c>
      <c r="B1020" s="326"/>
      <c r="C1020" s="326"/>
      <c r="E1020" s="326" t="s">
        <v>122</v>
      </c>
      <c r="F1020" s="326"/>
      <c r="G1020" s="326"/>
    </row>
    <row r="1021" spans="1:25" ht="15.75" thickBot="1" x14ac:dyDescent="0.3">
      <c r="A1021" s="330" t="s">
        <v>63</v>
      </c>
      <c r="B1021" s="331"/>
      <c r="E1021" s="330" t="s">
        <v>63</v>
      </c>
      <c r="F1021" s="331"/>
    </row>
    <row r="1023" spans="1:25" s="12" customFormat="1" x14ac:dyDescent="0.25"/>
    <row r="1025" spans="1:25" ht="19.5" thickBot="1" x14ac:dyDescent="0.35">
      <c r="A1025" s="332" t="s">
        <v>101</v>
      </c>
      <c r="B1025" s="332"/>
      <c r="C1025" s="332"/>
      <c r="D1025" s="332"/>
      <c r="E1025" s="332"/>
      <c r="F1025" s="332"/>
      <c r="H1025" s="332" t="s">
        <v>426</v>
      </c>
      <c r="I1025" s="332"/>
      <c r="J1025" s="332"/>
    </row>
    <row r="1026" spans="1:25" x14ac:dyDescent="0.25">
      <c r="A1026" s="317" t="s">
        <v>364</v>
      </c>
      <c r="B1026" s="318"/>
      <c r="C1026" s="318"/>
      <c r="D1026" s="318"/>
      <c r="E1026" s="318"/>
      <c r="F1026" s="318"/>
      <c r="G1026" s="318"/>
      <c r="H1026" s="318"/>
      <c r="I1026" s="318"/>
      <c r="J1026" s="318"/>
      <c r="K1026" s="318"/>
      <c r="L1026" s="318"/>
      <c r="M1026" s="318"/>
      <c r="N1026" s="318"/>
      <c r="O1026" s="318"/>
      <c r="P1026" s="318"/>
      <c r="Q1026" s="318"/>
      <c r="R1026" s="318"/>
      <c r="S1026" s="318"/>
      <c r="T1026" s="318"/>
      <c r="U1026" s="318"/>
      <c r="V1026" s="318"/>
      <c r="W1026" s="318"/>
      <c r="X1026" s="318"/>
      <c r="Y1026" s="319"/>
    </row>
    <row r="1027" spans="1:25" x14ac:dyDescent="0.25">
      <c r="A1027" s="320"/>
      <c r="B1027" s="321"/>
      <c r="C1027" s="321"/>
      <c r="D1027" s="321"/>
      <c r="E1027" s="321"/>
      <c r="F1027" s="321"/>
      <c r="G1027" s="321"/>
      <c r="H1027" s="321"/>
      <c r="I1027" s="321"/>
      <c r="J1027" s="321"/>
      <c r="K1027" s="321"/>
      <c r="L1027" s="321"/>
      <c r="M1027" s="321"/>
      <c r="N1027" s="321"/>
      <c r="O1027" s="321"/>
      <c r="P1027" s="321"/>
      <c r="Q1027" s="321"/>
      <c r="R1027" s="321"/>
      <c r="S1027" s="321"/>
      <c r="T1027" s="321"/>
      <c r="U1027" s="321"/>
      <c r="V1027" s="321"/>
      <c r="W1027" s="321"/>
      <c r="X1027" s="321"/>
      <c r="Y1027" s="322"/>
    </row>
    <row r="1028" spans="1:25" x14ac:dyDescent="0.25">
      <c r="A1028" s="320"/>
      <c r="B1028" s="321"/>
      <c r="C1028" s="321"/>
      <c r="D1028" s="321"/>
      <c r="E1028" s="321"/>
      <c r="F1028" s="321"/>
      <c r="G1028" s="321"/>
      <c r="H1028" s="321"/>
      <c r="I1028" s="321"/>
      <c r="J1028" s="321"/>
      <c r="K1028" s="321"/>
      <c r="L1028" s="321"/>
      <c r="M1028" s="321"/>
      <c r="N1028" s="321"/>
      <c r="O1028" s="321"/>
      <c r="P1028" s="321"/>
      <c r="Q1028" s="321"/>
      <c r="R1028" s="321"/>
      <c r="S1028" s="321"/>
      <c r="T1028" s="321"/>
      <c r="U1028" s="321"/>
      <c r="V1028" s="321"/>
      <c r="W1028" s="321"/>
      <c r="X1028" s="321"/>
      <c r="Y1028" s="322"/>
    </row>
    <row r="1029" spans="1:25" x14ac:dyDescent="0.25">
      <c r="A1029" s="320"/>
      <c r="B1029" s="321"/>
      <c r="C1029" s="321"/>
      <c r="D1029" s="321"/>
      <c r="E1029" s="321"/>
      <c r="F1029" s="321"/>
      <c r="G1029" s="321"/>
      <c r="H1029" s="321"/>
      <c r="I1029" s="321"/>
      <c r="J1029" s="321"/>
      <c r="K1029" s="321"/>
      <c r="L1029" s="321"/>
      <c r="M1029" s="321"/>
      <c r="N1029" s="321"/>
      <c r="O1029" s="321"/>
      <c r="P1029" s="321"/>
      <c r="Q1029" s="321"/>
      <c r="R1029" s="321"/>
      <c r="S1029" s="321"/>
      <c r="T1029" s="321"/>
      <c r="U1029" s="321"/>
      <c r="V1029" s="321"/>
      <c r="W1029" s="321"/>
      <c r="X1029" s="321"/>
      <c r="Y1029" s="322"/>
    </row>
    <row r="1030" spans="1:25" x14ac:dyDescent="0.25">
      <c r="A1030" s="320"/>
      <c r="B1030" s="321"/>
      <c r="C1030" s="321"/>
      <c r="D1030" s="321"/>
      <c r="E1030" s="321"/>
      <c r="F1030" s="321"/>
      <c r="G1030" s="321"/>
      <c r="H1030" s="321"/>
      <c r="I1030" s="321"/>
      <c r="J1030" s="321"/>
      <c r="K1030" s="321"/>
      <c r="L1030" s="321"/>
      <c r="M1030" s="321"/>
      <c r="N1030" s="321"/>
      <c r="O1030" s="321"/>
      <c r="P1030" s="321"/>
      <c r="Q1030" s="321"/>
      <c r="R1030" s="321"/>
      <c r="S1030" s="321"/>
      <c r="T1030" s="321"/>
      <c r="U1030" s="321"/>
      <c r="V1030" s="321"/>
      <c r="W1030" s="321"/>
      <c r="X1030" s="321"/>
      <c r="Y1030" s="322"/>
    </row>
    <row r="1031" spans="1:25" x14ac:dyDescent="0.25">
      <c r="A1031" s="320"/>
      <c r="B1031" s="321"/>
      <c r="C1031" s="321"/>
      <c r="D1031" s="321"/>
      <c r="E1031" s="321"/>
      <c r="F1031" s="321"/>
      <c r="G1031" s="321"/>
      <c r="H1031" s="321"/>
      <c r="I1031" s="321"/>
      <c r="J1031" s="321"/>
      <c r="K1031" s="321"/>
      <c r="L1031" s="321"/>
      <c r="M1031" s="321"/>
      <c r="N1031" s="321"/>
      <c r="O1031" s="321"/>
      <c r="P1031" s="321"/>
      <c r="Q1031" s="321"/>
      <c r="R1031" s="321"/>
      <c r="S1031" s="321"/>
      <c r="T1031" s="321"/>
      <c r="U1031" s="321"/>
      <c r="V1031" s="321"/>
      <c r="W1031" s="321"/>
      <c r="X1031" s="321"/>
      <c r="Y1031" s="322"/>
    </row>
    <row r="1032" spans="1:25" x14ac:dyDescent="0.25">
      <c r="A1032" s="320"/>
      <c r="B1032" s="321"/>
      <c r="C1032" s="321"/>
      <c r="D1032" s="321"/>
      <c r="E1032" s="321"/>
      <c r="F1032" s="321"/>
      <c r="G1032" s="321"/>
      <c r="H1032" s="321"/>
      <c r="I1032" s="321"/>
      <c r="J1032" s="321"/>
      <c r="K1032" s="321"/>
      <c r="L1032" s="321"/>
      <c r="M1032" s="321"/>
      <c r="N1032" s="321"/>
      <c r="O1032" s="321"/>
      <c r="P1032" s="321"/>
      <c r="Q1032" s="321"/>
      <c r="R1032" s="321"/>
      <c r="S1032" s="321"/>
      <c r="T1032" s="321"/>
      <c r="U1032" s="321"/>
      <c r="V1032" s="321"/>
      <c r="W1032" s="321"/>
      <c r="X1032" s="321"/>
      <c r="Y1032" s="322"/>
    </row>
    <row r="1033" spans="1:25" x14ac:dyDescent="0.25">
      <c r="A1033" s="320"/>
      <c r="B1033" s="321"/>
      <c r="C1033" s="321"/>
      <c r="D1033" s="321"/>
      <c r="E1033" s="321"/>
      <c r="F1033" s="321"/>
      <c r="G1033" s="321"/>
      <c r="H1033" s="321"/>
      <c r="I1033" s="321"/>
      <c r="J1033" s="321"/>
      <c r="K1033" s="321"/>
      <c r="L1033" s="321"/>
      <c r="M1033" s="321"/>
      <c r="N1033" s="321"/>
      <c r="O1033" s="321"/>
      <c r="P1033" s="321"/>
      <c r="Q1033" s="321"/>
      <c r="R1033" s="321"/>
      <c r="S1033" s="321"/>
      <c r="T1033" s="321"/>
      <c r="U1033" s="321"/>
      <c r="V1033" s="321"/>
      <c r="W1033" s="321"/>
      <c r="X1033" s="321"/>
      <c r="Y1033" s="322"/>
    </row>
    <row r="1034" spans="1:25" x14ac:dyDescent="0.25">
      <c r="A1034" s="320"/>
      <c r="B1034" s="321"/>
      <c r="C1034" s="321"/>
      <c r="D1034" s="321"/>
      <c r="E1034" s="321"/>
      <c r="F1034" s="321"/>
      <c r="G1034" s="321"/>
      <c r="H1034" s="321"/>
      <c r="I1034" s="321"/>
      <c r="J1034" s="321"/>
      <c r="K1034" s="321"/>
      <c r="L1034" s="321"/>
      <c r="M1034" s="321"/>
      <c r="N1034" s="321"/>
      <c r="O1034" s="321"/>
      <c r="P1034" s="321"/>
      <c r="Q1034" s="321"/>
      <c r="R1034" s="321"/>
      <c r="S1034" s="321"/>
      <c r="T1034" s="321"/>
      <c r="U1034" s="321"/>
      <c r="V1034" s="321"/>
      <c r="W1034" s="321"/>
      <c r="X1034" s="321"/>
      <c r="Y1034" s="322"/>
    </row>
    <row r="1035" spans="1:25" x14ac:dyDescent="0.25">
      <c r="A1035" s="320"/>
      <c r="B1035" s="321"/>
      <c r="C1035" s="321"/>
      <c r="D1035" s="321"/>
      <c r="E1035" s="321"/>
      <c r="F1035" s="321"/>
      <c r="G1035" s="321"/>
      <c r="H1035" s="321"/>
      <c r="I1035" s="321"/>
      <c r="J1035" s="321"/>
      <c r="K1035" s="321"/>
      <c r="L1035" s="321"/>
      <c r="M1035" s="321"/>
      <c r="N1035" s="321"/>
      <c r="O1035" s="321"/>
      <c r="P1035" s="321"/>
      <c r="Q1035" s="321"/>
      <c r="R1035" s="321"/>
      <c r="S1035" s="321"/>
      <c r="T1035" s="321"/>
      <c r="U1035" s="321"/>
      <c r="V1035" s="321"/>
      <c r="W1035" s="321"/>
      <c r="X1035" s="321"/>
      <c r="Y1035" s="322"/>
    </row>
    <row r="1036" spans="1:25" x14ac:dyDescent="0.25">
      <c r="A1036" s="320"/>
      <c r="B1036" s="321"/>
      <c r="C1036" s="321"/>
      <c r="D1036" s="321"/>
      <c r="E1036" s="321"/>
      <c r="F1036" s="321"/>
      <c r="G1036" s="321"/>
      <c r="H1036" s="321"/>
      <c r="I1036" s="321"/>
      <c r="J1036" s="321"/>
      <c r="K1036" s="321"/>
      <c r="L1036" s="321"/>
      <c r="M1036" s="321"/>
      <c r="N1036" s="321"/>
      <c r="O1036" s="321"/>
      <c r="P1036" s="321"/>
      <c r="Q1036" s="321"/>
      <c r="R1036" s="321"/>
      <c r="S1036" s="321"/>
      <c r="T1036" s="321"/>
      <c r="U1036" s="321"/>
      <c r="V1036" s="321"/>
      <c r="W1036" s="321"/>
      <c r="X1036" s="321"/>
      <c r="Y1036" s="322"/>
    </row>
    <row r="1037" spans="1:25" x14ac:dyDescent="0.25">
      <c r="A1037" s="320"/>
      <c r="B1037" s="321"/>
      <c r="C1037" s="321"/>
      <c r="D1037" s="321"/>
      <c r="E1037" s="321"/>
      <c r="F1037" s="321"/>
      <c r="G1037" s="321"/>
      <c r="H1037" s="321"/>
      <c r="I1037" s="321"/>
      <c r="J1037" s="321"/>
      <c r="K1037" s="321"/>
      <c r="L1037" s="321"/>
      <c r="M1037" s="321"/>
      <c r="N1037" s="321"/>
      <c r="O1037" s="321"/>
      <c r="P1037" s="321"/>
      <c r="Q1037" s="321"/>
      <c r="R1037" s="321"/>
      <c r="S1037" s="321"/>
      <c r="T1037" s="321"/>
      <c r="U1037" s="321"/>
      <c r="V1037" s="321"/>
      <c r="W1037" s="321"/>
      <c r="X1037" s="321"/>
      <c r="Y1037" s="322"/>
    </row>
    <row r="1038" spans="1:25" x14ac:dyDescent="0.25">
      <c r="A1038" s="320"/>
      <c r="B1038" s="321"/>
      <c r="C1038" s="321"/>
      <c r="D1038" s="321"/>
      <c r="E1038" s="321"/>
      <c r="F1038" s="321"/>
      <c r="G1038" s="321"/>
      <c r="H1038" s="321"/>
      <c r="I1038" s="321"/>
      <c r="J1038" s="321"/>
      <c r="K1038" s="321"/>
      <c r="L1038" s="321"/>
      <c r="M1038" s="321"/>
      <c r="N1038" s="321"/>
      <c r="O1038" s="321"/>
      <c r="P1038" s="321"/>
      <c r="Q1038" s="321"/>
      <c r="R1038" s="321"/>
      <c r="S1038" s="321"/>
      <c r="T1038" s="321"/>
      <c r="U1038" s="321"/>
      <c r="V1038" s="321"/>
      <c r="W1038" s="321"/>
      <c r="X1038" s="321"/>
      <c r="Y1038" s="322"/>
    </row>
    <row r="1039" spans="1:25" ht="15.75" thickBot="1" x14ac:dyDescent="0.3">
      <c r="A1039" s="323"/>
      <c r="B1039" s="324"/>
      <c r="C1039" s="324"/>
      <c r="D1039" s="324"/>
      <c r="E1039" s="324"/>
      <c r="F1039" s="324"/>
      <c r="G1039" s="324"/>
      <c r="H1039" s="324"/>
      <c r="I1039" s="324"/>
      <c r="J1039" s="324"/>
      <c r="K1039" s="324"/>
      <c r="L1039" s="324"/>
      <c r="M1039" s="324"/>
      <c r="N1039" s="324"/>
      <c r="O1039" s="324"/>
      <c r="P1039" s="324"/>
      <c r="Q1039" s="324"/>
      <c r="R1039" s="324"/>
      <c r="S1039" s="324"/>
      <c r="T1039" s="324"/>
      <c r="U1039" s="324"/>
      <c r="V1039" s="324"/>
      <c r="W1039" s="324"/>
      <c r="X1039" s="324"/>
      <c r="Y1039" s="325"/>
    </row>
    <row r="1041" spans="1:25" ht="15.75" thickBot="1" x14ac:dyDescent="0.3">
      <c r="A1041" s="326" t="s">
        <v>29</v>
      </c>
      <c r="B1041" s="326"/>
      <c r="C1041" s="326"/>
      <c r="D1041" s="326"/>
    </row>
    <row r="1042" spans="1:25" x14ac:dyDescent="0.25">
      <c r="A1042" s="317" t="s">
        <v>365</v>
      </c>
      <c r="B1042" s="318"/>
      <c r="C1042" s="318"/>
      <c r="D1042" s="318"/>
      <c r="E1042" s="318"/>
      <c r="F1042" s="318"/>
      <c r="G1042" s="318"/>
      <c r="H1042" s="318"/>
      <c r="I1042" s="318"/>
      <c r="J1042" s="318"/>
      <c r="K1042" s="318"/>
      <c r="L1042" s="318"/>
      <c r="M1042" s="318"/>
      <c r="N1042" s="318"/>
      <c r="O1042" s="318"/>
      <c r="P1042" s="318"/>
      <c r="Q1042" s="318"/>
      <c r="R1042" s="318"/>
      <c r="S1042" s="318"/>
      <c r="T1042" s="318"/>
      <c r="U1042" s="318"/>
      <c r="V1042" s="318"/>
      <c r="W1042" s="318"/>
      <c r="X1042" s="318"/>
      <c r="Y1042" s="319"/>
    </row>
    <row r="1043" spans="1:25" x14ac:dyDescent="0.25">
      <c r="A1043" s="320"/>
      <c r="B1043" s="321"/>
      <c r="C1043" s="321"/>
      <c r="D1043" s="321"/>
      <c r="E1043" s="321"/>
      <c r="F1043" s="321"/>
      <c r="G1043" s="321"/>
      <c r="H1043" s="321"/>
      <c r="I1043" s="321"/>
      <c r="J1043" s="321"/>
      <c r="K1043" s="321"/>
      <c r="L1043" s="321"/>
      <c r="M1043" s="321"/>
      <c r="N1043" s="321"/>
      <c r="O1043" s="321"/>
      <c r="P1043" s="321"/>
      <c r="Q1043" s="321"/>
      <c r="R1043" s="321"/>
      <c r="S1043" s="321"/>
      <c r="T1043" s="321"/>
      <c r="U1043" s="321"/>
      <c r="V1043" s="321"/>
      <c r="W1043" s="321"/>
      <c r="X1043" s="321"/>
      <c r="Y1043" s="322"/>
    </row>
    <row r="1044" spans="1:25" x14ac:dyDescent="0.25">
      <c r="A1044" s="320"/>
      <c r="B1044" s="321"/>
      <c r="C1044" s="321"/>
      <c r="D1044" s="321"/>
      <c r="E1044" s="321"/>
      <c r="F1044" s="321"/>
      <c r="G1044" s="321"/>
      <c r="H1044" s="321"/>
      <c r="I1044" s="321"/>
      <c r="J1044" s="321"/>
      <c r="K1044" s="321"/>
      <c r="L1044" s="321"/>
      <c r="M1044" s="321"/>
      <c r="N1044" s="321"/>
      <c r="O1044" s="321"/>
      <c r="P1044" s="321"/>
      <c r="Q1044" s="321"/>
      <c r="R1044" s="321"/>
      <c r="S1044" s="321"/>
      <c r="T1044" s="321"/>
      <c r="U1044" s="321"/>
      <c r="V1044" s="321"/>
      <c r="W1044" s="321"/>
      <c r="X1044" s="321"/>
      <c r="Y1044" s="322"/>
    </row>
    <row r="1045" spans="1:25" x14ac:dyDescent="0.25">
      <c r="A1045" s="320"/>
      <c r="B1045" s="321"/>
      <c r="C1045" s="321"/>
      <c r="D1045" s="321"/>
      <c r="E1045" s="321"/>
      <c r="F1045" s="321"/>
      <c r="G1045" s="321"/>
      <c r="H1045" s="321"/>
      <c r="I1045" s="321"/>
      <c r="J1045" s="321"/>
      <c r="K1045" s="321"/>
      <c r="L1045" s="321"/>
      <c r="M1045" s="321"/>
      <c r="N1045" s="321"/>
      <c r="O1045" s="321"/>
      <c r="P1045" s="321"/>
      <c r="Q1045" s="321"/>
      <c r="R1045" s="321"/>
      <c r="S1045" s="321"/>
      <c r="T1045" s="321"/>
      <c r="U1045" s="321"/>
      <c r="V1045" s="321"/>
      <c r="W1045" s="321"/>
      <c r="X1045" s="321"/>
      <c r="Y1045" s="322"/>
    </row>
    <row r="1046" spans="1:25" x14ac:dyDescent="0.25">
      <c r="A1046" s="320"/>
      <c r="B1046" s="321"/>
      <c r="C1046" s="321"/>
      <c r="D1046" s="321"/>
      <c r="E1046" s="321"/>
      <c r="F1046" s="321"/>
      <c r="G1046" s="321"/>
      <c r="H1046" s="321"/>
      <c r="I1046" s="321"/>
      <c r="J1046" s="321"/>
      <c r="K1046" s="321"/>
      <c r="L1046" s="321"/>
      <c r="M1046" s="321"/>
      <c r="N1046" s="321"/>
      <c r="O1046" s="321"/>
      <c r="P1046" s="321"/>
      <c r="Q1046" s="321"/>
      <c r="R1046" s="321"/>
      <c r="S1046" s="321"/>
      <c r="T1046" s="321"/>
      <c r="U1046" s="321"/>
      <c r="V1046" s="321"/>
      <c r="W1046" s="321"/>
      <c r="X1046" s="321"/>
      <c r="Y1046" s="322"/>
    </row>
    <row r="1047" spans="1:25" x14ac:dyDescent="0.25">
      <c r="A1047" s="320"/>
      <c r="B1047" s="321"/>
      <c r="C1047" s="321"/>
      <c r="D1047" s="321"/>
      <c r="E1047" s="321"/>
      <c r="F1047" s="321"/>
      <c r="G1047" s="321"/>
      <c r="H1047" s="321"/>
      <c r="I1047" s="321"/>
      <c r="J1047" s="321"/>
      <c r="K1047" s="321"/>
      <c r="L1047" s="321"/>
      <c r="M1047" s="321"/>
      <c r="N1047" s="321"/>
      <c r="O1047" s="321"/>
      <c r="P1047" s="321"/>
      <c r="Q1047" s="321"/>
      <c r="R1047" s="321"/>
      <c r="S1047" s="321"/>
      <c r="T1047" s="321"/>
      <c r="U1047" s="321"/>
      <c r="V1047" s="321"/>
      <c r="W1047" s="321"/>
      <c r="X1047" s="321"/>
      <c r="Y1047" s="322"/>
    </row>
    <row r="1048" spans="1:25" ht="15.75" thickBot="1" x14ac:dyDescent="0.3">
      <c r="A1048" s="323"/>
      <c r="B1048" s="324"/>
      <c r="C1048" s="324"/>
      <c r="D1048" s="324"/>
      <c r="E1048" s="324"/>
      <c r="F1048" s="324"/>
      <c r="G1048" s="324"/>
      <c r="H1048" s="324"/>
      <c r="I1048" s="324"/>
      <c r="J1048" s="324"/>
      <c r="K1048" s="324"/>
      <c r="L1048" s="324"/>
      <c r="M1048" s="324"/>
      <c r="N1048" s="324"/>
      <c r="O1048" s="324"/>
      <c r="P1048" s="324"/>
      <c r="Q1048" s="324"/>
      <c r="R1048" s="324"/>
      <c r="S1048" s="324"/>
      <c r="T1048" s="324"/>
      <c r="U1048" s="324"/>
      <c r="V1048" s="324"/>
      <c r="W1048" s="324"/>
      <c r="X1048" s="324"/>
      <c r="Y1048" s="325"/>
    </row>
    <row r="1050" spans="1:25" ht="15.75" thickBot="1" x14ac:dyDescent="0.3">
      <c r="A1050" s="326" t="s">
        <v>27</v>
      </c>
      <c r="B1050" s="326"/>
      <c r="C1050" s="326"/>
      <c r="D1050" s="326"/>
      <c r="E1050" s="326"/>
      <c r="F1050" s="326"/>
      <c r="G1050" s="326"/>
      <c r="H1050" s="326"/>
    </row>
    <row r="1051" spans="1:25" ht="15.75" thickBot="1" x14ac:dyDescent="0.3">
      <c r="A1051" s="327" t="s">
        <v>366</v>
      </c>
      <c r="B1051" s="328"/>
      <c r="C1051" s="328"/>
      <c r="D1051" s="328"/>
      <c r="E1051" s="328"/>
      <c r="F1051" s="328"/>
      <c r="G1051" s="328"/>
      <c r="H1051" s="328"/>
      <c r="I1051" s="328"/>
      <c r="J1051" s="328"/>
      <c r="K1051" s="328"/>
      <c r="L1051" s="328"/>
      <c r="M1051" s="328"/>
      <c r="N1051" s="328"/>
      <c r="O1051" s="328"/>
      <c r="P1051" s="328"/>
      <c r="Q1051" s="328"/>
      <c r="R1051" s="328"/>
      <c r="S1051" s="328"/>
      <c r="T1051" s="328"/>
      <c r="U1051" s="328"/>
      <c r="V1051" s="328"/>
      <c r="W1051" s="328"/>
      <c r="X1051" s="328"/>
      <c r="Y1051" s="329"/>
    </row>
    <row r="1053" spans="1:25" ht="15.75" thickBot="1" x14ac:dyDescent="0.3">
      <c r="A1053" s="326" t="s">
        <v>121</v>
      </c>
      <c r="B1053" s="326"/>
      <c r="C1053" s="326"/>
      <c r="E1053" s="326" t="s">
        <v>122</v>
      </c>
      <c r="F1053" s="326"/>
      <c r="G1053" s="326"/>
    </row>
    <row r="1054" spans="1:25" ht="15.75" thickBot="1" x14ac:dyDescent="0.3">
      <c r="A1054" s="330" t="s">
        <v>63</v>
      </c>
      <c r="B1054" s="331"/>
      <c r="E1054" s="330" t="s">
        <v>66</v>
      </c>
      <c r="F1054" s="331"/>
    </row>
    <row r="1056" spans="1:25" s="12" customFormat="1" x14ac:dyDescent="0.25"/>
    <row r="1058" spans="1:25" ht="19.5" thickBot="1" x14ac:dyDescent="0.35">
      <c r="A1058" s="332" t="s">
        <v>102</v>
      </c>
      <c r="B1058" s="332"/>
      <c r="C1058" s="332"/>
      <c r="D1058" s="332"/>
      <c r="E1058" s="332"/>
      <c r="F1058" s="332"/>
      <c r="H1058" s="332" t="s">
        <v>422</v>
      </c>
      <c r="I1058" s="332"/>
      <c r="J1058" s="332"/>
    </row>
    <row r="1059" spans="1:25" x14ac:dyDescent="0.25">
      <c r="A1059" s="317" t="s">
        <v>433</v>
      </c>
      <c r="B1059" s="318"/>
      <c r="C1059" s="318"/>
      <c r="D1059" s="31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319"/>
    </row>
    <row r="1060" spans="1:25" x14ac:dyDescent="0.25">
      <c r="A1060" s="320"/>
      <c r="B1060" s="321"/>
      <c r="C1060" s="321"/>
      <c r="D1060" s="321"/>
      <c r="E1060" s="321"/>
      <c r="F1060" s="321"/>
      <c r="G1060" s="321"/>
      <c r="H1060" s="321"/>
      <c r="I1060" s="321"/>
      <c r="J1060" s="321"/>
      <c r="K1060" s="321"/>
      <c r="L1060" s="321"/>
      <c r="M1060" s="321"/>
      <c r="N1060" s="321"/>
      <c r="O1060" s="321"/>
      <c r="P1060" s="321"/>
      <c r="Q1060" s="321"/>
      <c r="R1060" s="321"/>
      <c r="S1060" s="321"/>
      <c r="T1060" s="321"/>
      <c r="U1060" s="321"/>
      <c r="V1060" s="321"/>
      <c r="W1060" s="321"/>
      <c r="X1060" s="321"/>
      <c r="Y1060" s="322"/>
    </row>
    <row r="1061" spans="1:25" x14ac:dyDescent="0.25">
      <c r="A1061" s="320"/>
      <c r="B1061" s="321"/>
      <c r="C1061" s="321"/>
      <c r="D1061" s="321"/>
      <c r="E1061" s="321"/>
      <c r="F1061" s="321"/>
      <c r="G1061" s="321"/>
      <c r="H1061" s="321"/>
      <c r="I1061" s="321"/>
      <c r="J1061" s="321"/>
      <c r="K1061" s="321"/>
      <c r="L1061" s="321"/>
      <c r="M1061" s="321"/>
      <c r="N1061" s="321"/>
      <c r="O1061" s="321"/>
      <c r="P1061" s="321"/>
      <c r="Q1061" s="321"/>
      <c r="R1061" s="321"/>
      <c r="S1061" s="321"/>
      <c r="T1061" s="321"/>
      <c r="U1061" s="321"/>
      <c r="V1061" s="321"/>
      <c r="W1061" s="321"/>
      <c r="X1061" s="321"/>
      <c r="Y1061" s="322"/>
    </row>
    <row r="1062" spans="1:25" x14ac:dyDescent="0.25">
      <c r="A1062" s="320"/>
      <c r="B1062" s="321"/>
      <c r="C1062" s="321"/>
      <c r="D1062" s="321"/>
      <c r="E1062" s="321"/>
      <c r="F1062" s="321"/>
      <c r="G1062" s="321"/>
      <c r="H1062" s="321"/>
      <c r="I1062" s="321"/>
      <c r="J1062" s="321"/>
      <c r="K1062" s="321"/>
      <c r="L1062" s="321"/>
      <c r="M1062" s="321"/>
      <c r="N1062" s="321"/>
      <c r="O1062" s="321"/>
      <c r="P1062" s="321"/>
      <c r="Q1062" s="321"/>
      <c r="R1062" s="321"/>
      <c r="S1062" s="321"/>
      <c r="T1062" s="321"/>
      <c r="U1062" s="321"/>
      <c r="V1062" s="321"/>
      <c r="W1062" s="321"/>
      <c r="X1062" s="321"/>
      <c r="Y1062" s="322"/>
    </row>
    <row r="1063" spans="1:25" x14ac:dyDescent="0.25">
      <c r="A1063" s="320"/>
      <c r="B1063" s="321"/>
      <c r="C1063" s="321"/>
      <c r="D1063" s="321"/>
      <c r="E1063" s="321"/>
      <c r="F1063" s="321"/>
      <c r="G1063" s="321"/>
      <c r="H1063" s="321"/>
      <c r="I1063" s="321"/>
      <c r="J1063" s="321"/>
      <c r="K1063" s="321"/>
      <c r="L1063" s="321"/>
      <c r="M1063" s="321"/>
      <c r="N1063" s="321"/>
      <c r="O1063" s="321"/>
      <c r="P1063" s="321"/>
      <c r="Q1063" s="321"/>
      <c r="R1063" s="321"/>
      <c r="S1063" s="321"/>
      <c r="T1063" s="321"/>
      <c r="U1063" s="321"/>
      <c r="V1063" s="321"/>
      <c r="W1063" s="321"/>
      <c r="X1063" s="321"/>
      <c r="Y1063" s="322"/>
    </row>
    <row r="1064" spans="1:25" x14ac:dyDescent="0.25">
      <c r="A1064" s="320"/>
      <c r="B1064" s="321"/>
      <c r="C1064" s="321"/>
      <c r="D1064" s="321"/>
      <c r="E1064" s="321"/>
      <c r="F1064" s="321"/>
      <c r="G1064" s="321"/>
      <c r="H1064" s="321"/>
      <c r="I1064" s="321"/>
      <c r="J1064" s="321"/>
      <c r="K1064" s="321"/>
      <c r="L1064" s="321"/>
      <c r="M1064" s="321"/>
      <c r="N1064" s="321"/>
      <c r="O1064" s="321"/>
      <c r="P1064" s="321"/>
      <c r="Q1064" s="321"/>
      <c r="R1064" s="321"/>
      <c r="S1064" s="321"/>
      <c r="T1064" s="321"/>
      <c r="U1064" s="321"/>
      <c r="V1064" s="321"/>
      <c r="W1064" s="321"/>
      <c r="X1064" s="321"/>
      <c r="Y1064" s="322"/>
    </row>
    <row r="1065" spans="1:25" x14ac:dyDescent="0.25">
      <c r="A1065" s="320"/>
      <c r="B1065" s="321"/>
      <c r="C1065" s="321"/>
      <c r="D1065" s="321"/>
      <c r="E1065" s="321"/>
      <c r="F1065" s="321"/>
      <c r="G1065" s="321"/>
      <c r="H1065" s="321"/>
      <c r="I1065" s="321"/>
      <c r="J1065" s="321"/>
      <c r="K1065" s="321"/>
      <c r="L1065" s="321"/>
      <c r="M1065" s="321"/>
      <c r="N1065" s="321"/>
      <c r="O1065" s="321"/>
      <c r="P1065" s="321"/>
      <c r="Q1065" s="321"/>
      <c r="R1065" s="321"/>
      <c r="S1065" s="321"/>
      <c r="T1065" s="321"/>
      <c r="U1065" s="321"/>
      <c r="V1065" s="321"/>
      <c r="W1065" s="321"/>
      <c r="X1065" s="321"/>
      <c r="Y1065" s="322"/>
    </row>
    <row r="1066" spans="1:25" x14ac:dyDescent="0.25">
      <c r="A1066" s="320"/>
      <c r="B1066" s="321"/>
      <c r="C1066" s="321"/>
      <c r="D1066" s="321"/>
      <c r="E1066" s="321"/>
      <c r="F1066" s="321"/>
      <c r="G1066" s="321"/>
      <c r="H1066" s="321"/>
      <c r="I1066" s="321"/>
      <c r="J1066" s="321"/>
      <c r="K1066" s="321"/>
      <c r="L1066" s="321"/>
      <c r="M1066" s="321"/>
      <c r="N1066" s="321"/>
      <c r="O1066" s="321"/>
      <c r="P1066" s="321"/>
      <c r="Q1066" s="321"/>
      <c r="R1066" s="321"/>
      <c r="S1066" s="321"/>
      <c r="T1066" s="321"/>
      <c r="U1066" s="321"/>
      <c r="V1066" s="321"/>
      <c r="W1066" s="321"/>
      <c r="X1066" s="321"/>
      <c r="Y1066" s="322"/>
    </row>
    <row r="1067" spans="1:25" x14ac:dyDescent="0.25">
      <c r="A1067" s="320"/>
      <c r="B1067" s="321"/>
      <c r="C1067" s="321"/>
      <c r="D1067" s="321"/>
      <c r="E1067" s="321"/>
      <c r="F1067" s="321"/>
      <c r="G1067" s="321"/>
      <c r="H1067" s="321"/>
      <c r="I1067" s="321"/>
      <c r="J1067" s="321"/>
      <c r="K1067" s="321"/>
      <c r="L1067" s="321"/>
      <c r="M1067" s="321"/>
      <c r="N1067" s="321"/>
      <c r="O1067" s="321"/>
      <c r="P1067" s="321"/>
      <c r="Q1067" s="321"/>
      <c r="R1067" s="321"/>
      <c r="S1067" s="321"/>
      <c r="T1067" s="321"/>
      <c r="U1067" s="321"/>
      <c r="V1067" s="321"/>
      <c r="W1067" s="321"/>
      <c r="X1067" s="321"/>
      <c r="Y1067" s="322"/>
    </row>
    <row r="1068" spans="1:25" x14ac:dyDescent="0.25">
      <c r="A1068" s="320"/>
      <c r="B1068" s="321"/>
      <c r="C1068" s="321"/>
      <c r="D1068" s="321"/>
      <c r="E1068" s="321"/>
      <c r="F1068" s="321"/>
      <c r="G1068" s="321"/>
      <c r="H1068" s="321"/>
      <c r="I1068" s="321"/>
      <c r="J1068" s="321"/>
      <c r="K1068" s="321"/>
      <c r="L1068" s="321"/>
      <c r="M1068" s="321"/>
      <c r="N1068" s="321"/>
      <c r="O1068" s="321"/>
      <c r="P1068" s="321"/>
      <c r="Q1068" s="321"/>
      <c r="R1068" s="321"/>
      <c r="S1068" s="321"/>
      <c r="T1068" s="321"/>
      <c r="U1068" s="321"/>
      <c r="V1068" s="321"/>
      <c r="W1068" s="321"/>
      <c r="X1068" s="321"/>
      <c r="Y1068" s="322"/>
    </row>
    <row r="1069" spans="1:25" x14ac:dyDescent="0.25">
      <c r="A1069" s="320"/>
      <c r="B1069" s="321"/>
      <c r="C1069" s="321"/>
      <c r="D1069" s="321"/>
      <c r="E1069" s="321"/>
      <c r="F1069" s="321"/>
      <c r="G1069" s="321"/>
      <c r="H1069" s="321"/>
      <c r="I1069" s="321"/>
      <c r="J1069" s="321"/>
      <c r="K1069" s="321"/>
      <c r="L1069" s="321"/>
      <c r="M1069" s="321"/>
      <c r="N1069" s="321"/>
      <c r="O1069" s="321"/>
      <c r="P1069" s="321"/>
      <c r="Q1069" s="321"/>
      <c r="R1069" s="321"/>
      <c r="S1069" s="321"/>
      <c r="T1069" s="321"/>
      <c r="U1069" s="321"/>
      <c r="V1069" s="321"/>
      <c r="W1069" s="321"/>
      <c r="X1069" s="321"/>
      <c r="Y1069" s="322"/>
    </row>
    <row r="1070" spans="1:25" x14ac:dyDescent="0.25">
      <c r="A1070" s="320"/>
      <c r="B1070" s="321"/>
      <c r="C1070" s="321"/>
      <c r="D1070" s="321"/>
      <c r="E1070" s="321"/>
      <c r="F1070" s="321"/>
      <c r="G1070" s="321"/>
      <c r="H1070" s="321"/>
      <c r="I1070" s="321"/>
      <c r="J1070" s="321"/>
      <c r="K1070" s="321"/>
      <c r="L1070" s="321"/>
      <c r="M1070" s="321"/>
      <c r="N1070" s="321"/>
      <c r="O1070" s="321"/>
      <c r="P1070" s="321"/>
      <c r="Q1070" s="321"/>
      <c r="R1070" s="321"/>
      <c r="S1070" s="321"/>
      <c r="T1070" s="321"/>
      <c r="U1070" s="321"/>
      <c r="V1070" s="321"/>
      <c r="W1070" s="321"/>
      <c r="X1070" s="321"/>
      <c r="Y1070" s="322"/>
    </row>
    <row r="1071" spans="1:25" x14ac:dyDescent="0.25">
      <c r="A1071" s="320"/>
      <c r="B1071" s="321"/>
      <c r="C1071" s="321"/>
      <c r="D1071" s="321"/>
      <c r="E1071" s="321"/>
      <c r="F1071" s="321"/>
      <c r="G1071" s="321"/>
      <c r="H1071" s="321"/>
      <c r="I1071" s="321"/>
      <c r="J1071" s="321"/>
      <c r="K1071" s="321"/>
      <c r="L1071" s="321"/>
      <c r="M1071" s="321"/>
      <c r="N1071" s="321"/>
      <c r="O1071" s="321"/>
      <c r="P1071" s="321"/>
      <c r="Q1071" s="321"/>
      <c r="R1071" s="321"/>
      <c r="S1071" s="321"/>
      <c r="T1071" s="321"/>
      <c r="U1071" s="321"/>
      <c r="V1071" s="321"/>
      <c r="W1071" s="321"/>
      <c r="X1071" s="321"/>
      <c r="Y1071" s="322"/>
    </row>
    <row r="1072" spans="1:25" ht="15.75" thickBot="1" x14ac:dyDescent="0.3">
      <c r="A1072" s="323"/>
      <c r="B1072" s="324"/>
      <c r="C1072" s="324"/>
      <c r="D1072" s="324"/>
      <c r="E1072" s="324"/>
      <c r="F1072" s="324"/>
      <c r="G1072" s="324"/>
      <c r="H1072" s="324"/>
      <c r="I1072" s="324"/>
      <c r="J1072" s="324"/>
      <c r="K1072" s="324"/>
      <c r="L1072" s="324"/>
      <c r="M1072" s="324"/>
      <c r="N1072" s="324"/>
      <c r="O1072" s="324"/>
      <c r="P1072" s="324"/>
      <c r="Q1072" s="324"/>
      <c r="R1072" s="324"/>
      <c r="S1072" s="324"/>
      <c r="T1072" s="324"/>
      <c r="U1072" s="324"/>
      <c r="V1072" s="324"/>
      <c r="W1072" s="324"/>
      <c r="X1072" s="324"/>
      <c r="Y1072" s="325"/>
    </row>
    <row r="1074" spans="1:25" ht="15.75" thickBot="1" x14ac:dyDescent="0.3">
      <c r="A1074" s="326" t="s">
        <v>29</v>
      </c>
      <c r="B1074" s="326"/>
      <c r="C1074" s="326"/>
      <c r="D1074" s="326"/>
    </row>
    <row r="1075" spans="1:25" x14ac:dyDescent="0.25">
      <c r="A1075" s="317" t="s">
        <v>423</v>
      </c>
      <c r="B1075" s="318"/>
      <c r="C1075" s="318"/>
      <c r="D1075" s="318"/>
      <c r="E1075" s="318"/>
      <c r="F1075" s="318"/>
      <c r="G1075" s="318"/>
      <c r="H1075" s="318"/>
      <c r="I1075" s="318"/>
      <c r="J1075" s="318"/>
      <c r="K1075" s="318"/>
      <c r="L1075" s="318"/>
      <c r="M1075" s="318"/>
      <c r="N1075" s="318"/>
      <c r="O1075" s="318"/>
      <c r="P1075" s="318"/>
      <c r="Q1075" s="318"/>
      <c r="R1075" s="318"/>
      <c r="S1075" s="318"/>
      <c r="T1075" s="318"/>
      <c r="U1075" s="318"/>
      <c r="V1075" s="318"/>
      <c r="W1075" s="318"/>
      <c r="X1075" s="318"/>
      <c r="Y1075" s="319"/>
    </row>
    <row r="1076" spans="1:25" x14ac:dyDescent="0.25">
      <c r="A1076" s="320"/>
      <c r="B1076" s="321"/>
      <c r="C1076" s="321"/>
      <c r="D1076" s="321"/>
      <c r="E1076" s="321"/>
      <c r="F1076" s="321"/>
      <c r="G1076" s="321"/>
      <c r="H1076" s="321"/>
      <c r="I1076" s="321"/>
      <c r="J1076" s="321"/>
      <c r="K1076" s="321"/>
      <c r="L1076" s="321"/>
      <c r="M1076" s="321"/>
      <c r="N1076" s="321"/>
      <c r="O1076" s="321"/>
      <c r="P1076" s="321"/>
      <c r="Q1076" s="321"/>
      <c r="R1076" s="321"/>
      <c r="S1076" s="321"/>
      <c r="T1076" s="321"/>
      <c r="U1076" s="321"/>
      <c r="V1076" s="321"/>
      <c r="W1076" s="321"/>
      <c r="X1076" s="321"/>
      <c r="Y1076" s="322"/>
    </row>
    <row r="1077" spans="1:25" x14ac:dyDescent="0.25">
      <c r="A1077" s="320"/>
      <c r="B1077" s="321"/>
      <c r="C1077" s="321"/>
      <c r="D1077" s="321"/>
      <c r="E1077" s="321"/>
      <c r="F1077" s="321"/>
      <c r="G1077" s="321"/>
      <c r="H1077" s="321"/>
      <c r="I1077" s="321"/>
      <c r="J1077" s="321"/>
      <c r="K1077" s="321"/>
      <c r="L1077" s="321"/>
      <c r="M1077" s="321"/>
      <c r="N1077" s="321"/>
      <c r="O1077" s="321"/>
      <c r="P1077" s="321"/>
      <c r="Q1077" s="321"/>
      <c r="R1077" s="321"/>
      <c r="S1077" s="321"/>
      <c r="T1077" s="321"/>
      <c r="U1077" s="321"/>
      <c r="V1077" s="321"/>
      <c r="W1077" s="321"/>
      <c r="X1077" s="321"/>
      <c r="Y1077" s="322"/>
    </row>
    <row r="1078" spans="1:25" x14ac:dyDescent="0.25">
      <c r="A1078" s="320"/>
      <c r="B1078" s="321"/>
      <c r="C1078" s="321"/>
      <c r="D1078" s="321"/>
      <c r="E1078" s="321"/>
      <c r="F1078" s="321"/>
      <c r="G1078" s="321"/>
      <c r="H1078" s="321"/>
      <c r="I1078" s="321"/>
      <c r="J1078" s="321"/>
      <c r="K1078" s="321"/>
      <c r="L1078" s="321"/>
      <c r="M1078" s="321"/>
      <c r="N1078" s="321"/>
      <c r="O1078" s="321"/>
      <c r="P1078" s="321"/>
      <c r="Q1078" s="321"/>
      <c r="R1078" s="321"/>
      <c r="S1078" s="321"/>
      <c r="T1078" s="321"/>
      <c r="U1078" s="321"/>
      <c r="V1078" s="321"/>
      <c r="W1078" s="321"/>
      <c r="X1078" s="321"/>
      <c r="Y1078" s="322"/>
    </row>
    <row r="1079" spans="1:25" x14ac:dyDescent="0.25">
      <c r="A1079" s="320"/>
      <c r="B1079" s="321"/>
      <c r="C1079" s="321"/>
      <c r="D1079" s="321"/>
      <c r="E1079" s="321"/>
      <c r="F1079" s="321"/>
      <c r="G1079" s="321"/>
      <c r="H1079" s="321"/>
      <c r="I1079" s="321"/>
      <c r="J1079" s="321"/>
      <c r="K1079" s="321"/>
      <c r="L1079" s="321"/>
      <c r="M1079" s="321"/>
      <c r="N1079" s="321"/>
      <c r="O1079" s="321"/>
      <c r="P1079" s="321"/>
      <c r="Q1079" s="321"/>
      <c r="R1079" s="321"/>
      <c r="S1079" s="321"/>
      <c r="T1079" s="321"/>
      <c r="U1079" s="321"/>
      <c r="V1079" s="321"/>
      <c r="W1079" s="321"/>
      <c r="X1079" s="321"/>
      <c r="Y1079" s="322"/>
    </row>
    <row r="1080" spans="1:25" x14ac:dyDescent="0.25">
      <c r="A1080" s="320"/>
      <c r="B1080" s="321"/>
      <c r="C1080" s="321"/>
      <c r="D1080" s="321"/>
      <c r="E1080" s="321"/>
      <c r="F1080" s="321"/>
      <c r="G1080" s="321"/>
      <c r="H1080" s="321"/>
      <c r="I1080" s="321"/>
      <c r="J1080" s="321"/>
      <c r="K1080" s="321"/>
      <c r="L1080" s="321"/>
      <c r="M1080" s="321"/>
      <c r="N1080" s="321"/>
      <c r="O1080" s="321"/>
      <c r="P1080" s="321"/>
      <c r="Q1080" s="321"/>
      <c r="R1080" s="321"/>
      <c r="S1080" s="321"/>
      <c r="T1080" s="321"/>
      <c r="U1080" s="321"/>
      <c r="V1080" s="321"/>
      <c r="W1080" s="321"/>
      <c r="X1080" s="321"/>
      <c r="Y1080" s="322"/>
    </row>
    <row r="1081" spans="1:25" ht="15.75" thickBot="1" x14ac:dyDescent="0.3">
      <c r="A1081" s="323"/>
      <c r="B1081" s="324"/>
      <c r="C1081" s="324"/>
      <c r="D1081" s="324"/>
      <c r="E1081" s="324"/>
      <c r="F1081" s="324"/>
      <c r="G1081" s="324"/>
      <c r="H1081" s="324"/>
      <c r="I1081" s="324"/>
      <c r="J1081" s="324"/>
      <c r="K1081" s="324"/>
      <c r="L1081" s="324"/>
      <c r="M1081" s="324"/>
      <c r="N1081" s="324"/>
      <c r="O1081" s="324"/>
      <c r="P1081" s="324"/>
      <c r="Q1081" s="324"/>
      <c r="R1081" s="324"/>
      <c r="S1081" s="324"/>
      <c r="T1081" s="324"/>
      <c r="U1081" s="324"/>
      <c r="V1081" s="324"/>
      <c r="W1081" s="324"/>
      <c r="X1081" s="324"/>
      <c r="Y1081" s="325"/>
    </row>
    <row r="1083" spans="1:25" ht="15.75" thickBot="1" x14ac:dyDescent="0.3">
      <c r="A1083" s="326" t="s">
        <v>27</v>
      </c>
      <c r="B1083" s="326"/>
      <c r="C1083" s="326"/>
      <c r="D1083" s="326"/>
      <c r="E1083" s="326"/>
      <c r="F1083" s="326"/>
      <c r="G1083" s="326"/>
      <c r="H1083" s="326"/>
    </row>
    <row r="1084" spans="1:25" ht="15.75" thickBot="1" x14ac:dyDescent="0.3">
      <c r="A1084" s="327" t="s">
        <v>262</v>
      </c>
      <c r="B1084" s="328"/>
      <c r="C1084" s="328"/>
      <c r="D1084" s="328"/>
      <c r="E1084" s="328"/>
      <c r="F1084" s="328"/>
      <c r="G1084" s="328"/>
      <c r="H1084" s="328"/>
      <c r="I1084" s="328"/>
      <c r="J1084" s="328"/>
      <c r="K1084" s="328"/>
      <c r="L1084" s="328"/>
      <c r="M1084" s="328"/>
      <c r="N1084" s="328"/>
      <c r="O1084" s="328"/>
      <c r="P1084" s="328"/>
      <c r="Q1084" s="328"/>
      <c r="R1084" s="328"/>
      <c r="S1084" s="328"/>
      <c r="T1084" s="328"/>
      <c r="U1084" s="328"/>
      <c r="V1084" s="328"/>
      <c r="W1084" s="328"/>
      <c r="X1084" s="328"/>
      <c r="Y1084" s="329"/>
    </row>
    <row r="1086" spans="1:25" ht="15.75" thickBot="1" x14ac:dyDescent="0.3">
      <c r="A1086" s="326" t="s">
        <v>121</v>
      </c>
      <c r="B1086" s="326"/>
      <c r="C1086" s="326"/>
      <c r="E1086" s="326" t="s">
        <v>122</v>
      </c>
      <c r="F1086" s="326"/>
      <c r="G1086" s="326"/>
    </row>
    <row r="1087" spans="1:25" ht="15.75" thickBot="1" x14ac:dyDescent="0.3">
      <c r="A1087" s="330" t="s">
        <v>65</v>
      </c>
      <c r="B1087" s="331"/>
      <c r="E1087" s="330" t="s">
        <v>66</v>
      </c>
      <c r="F1087" s="331"/>
    </row>
    <row r="1089" spans="1:25" s="12" customFormat="1" x14ac:dyDescent="0.25"/>
    <row r="1091" spans="1:25" ht="19.5" thickBot="1" x14ac:dyDescent="0.35">
      <c r="A1091" s="332" t="s">
        <v>103</v>
      </c>
      <c r="B1091" s="332"/>
      <c r="C1091" s="332"/>
      <c r="D1091" s="332"/>
      <c r="E1091" s="332"/>
      <c r="F1091" s="332"/>
      <c r="H1091" s="332" t="s">
        <v>427</v>
      </c>
      <c r="I1091" s="332"/>
      <c r="J1091" s="332"/>
    </row>
    <row r="1092" spans="1:25" x14ac:dyDescent="0.25">
      <c r="A1092" s="317" t="s">
        <v>428</v>
      </c>
      <c r="B1092" s="318"/>
      <c r="C1092" s="318"/>
      <c r="D1092" s="318"/>
      <c r="E1092" s="318"/>
      <c r="F1092" s="318"/>
      <c r="G1092" s="318"/>
      <c r="H1092" s="318"/>
      <c r="I1092" s="318"/>
      <c r="J1092" s="318"/>
      <c r="K1092" s="318"/>
      <c r="L1092" s="318"/>
      <c r="M1092" s="318"/>
      <c r="N1092" s="318"/>
      <c r="O1092" s="318"/>
      <c r="P1092" s="318"/>
      <c r="Q1092" s="318"/>
      <c r="R1092" s="318"/>
      <c r="S1092" s="318"/>
      <c r="T1092" s="318"/>
      <c r="U1092" s="318"/>
      <c r="V1092" s="318"/>
      <c r="W1092" s="318"/>
      <c r="X1092" s="318"/>
      <c r="Y1092" s="319"/>
    </row>
    <row r="1093" spans="1:25" x14ac:dyDescent="0.25">
      <c r="A1093" s="320"/>
      <c r="B1093" s="321"/>
      <c r="C1093" s="321"/>
      <c r="D1093" s="321"/>
      <c r="E1093" s="321"/>
      <c r="F1093" s="321"/>
      <c r="G1093" s="321"/>
      <c r="H1093" s="321"/>
      <c r="I1093" s="321"/>
      <c r="J1093" s="321"/>
      <c r="K1093" s="321"/>
      <c r="L1093" s="321"/>
      <c r="M1093" s="321"/>
      <c r="N1093" s="321"/>
      <c r="O1093" s="321"/>
      <c r="P1093" s="321"/>
      <c r="Q1093" s="321"/>
      <c r="R1093" s="321"/>
      <c r="S1093" s="321"/>
      <c r="T1093" s="321"/>
      <c r="U1093" s="321"/>
      <c r="V1093" s="321"/>
      <c r="W1093" s="321"/>
      <c r="X1093" s="321"/>
      <c r="Y1093" s="322"/>
    </row>
    <row r="1094" spans="1:25" x14ac:dyDescent="0.25">
      <c r="A1094" s="320"/>
      <c r="B1094" s="321"/>
      <c r="C1094" s="321"/>
      <c r="D1094" s="321"/>
      <c r="E1094" s="321"/>
      <c r="F1094" s="321"/>
      <c r="G1094" s="321"/>
      <c r="H1094" s="321"/>
      <c r="I1094" s="321"/>
      <c r="J1094" s="321"/>
      <c r="K1094" s="321"/>
      <c r="L1094" s="321"/>
      <c r="M1094" s="321"/>
      <c r="N1094" s="321"/>
      <c r="O1094" s="321"/>
      <c r="P1094" s="321"/>
      <c r="Q1094" s="321"/>
      <c r="R1094" s="321"/>
      <c r="S1094" s="321"/>
      <c r="T1094" s="321"/>
      <c r="U1094" s="321"/>
      <c r="V1094" s="321"/>
      <c r="W1094" s="321"/>
      <c r="X1094" s="321"/>
      <c r="Y1094" s="322"/>
    </row>
    <row r="1095" spans="1:25" x14ac:dyDescent="0.25">
      <c r="A1095" s="320"/>
      <c r="B1095" s="321"/>
      <c r="C1095" s="321"/>
      <c r="D1095" s="321"/>
      <c r="E1095" s="321"/>
      <c r="F1095" s="321"/>
      <c r="G1095" s="321"/>
      <c r="H1095" s="321"/>
      <c r="I1095" s="321"/>
      <c r="J1095" s="321"/>
      <c r="K1095" s="321"/>
      <c r="L1095" s="321"/>
      <c r="M1095" s="321"/>
      <c r="N1095" s="321"/>
      <c r="O1095" s="321"/>
      <c r="P1095" s="321"/>
      <c r="Q1095" s="321"/>
      <c r="R1095" s="321"/>
      <c r="S1095" s="321"/>
      <c r="T1095" s="321"/>
      <c r="U1095" s="321"/>
      <c r="V1095" s="321"/>
      <c r="W1095" s="321"/>
      <c r="X1095" s="321"/>
      <c r="Y1095" s="322"/>
    </row>
    <row r="1096" spans="1:25" x14ac:dyDescent="0.25">
      <c r="A1096" s="320"/>
      <c r="B1096" s="321"/>
      <c r="C1096" s="321"/>
      <c r="D1096" s="321"/>
      <c r="E1096" s="321"/>
      <c r="F1096" s="321"/>
      <c r="G1096" s="321"/>
      <c r="H1096" s="321"/>
      <c r="I1096" s="321"/>
      <c r="J1096" s="321"/>
      <c r="K1096" s="321"/>
      <c r="L1096" s="321"/>
      <c r="M1096" s="321"/>
      <c r="N1096" s="321"/>
      <c r="O1096" s="321"/>
      <c r="P1096" s="321"/>
      <c r="Q1096" s="321"/>
      <c r="R1096" s="321"/>
      <c r="S1096" s="321"/>
      <c r="T1096" s="321"/>
      <c r="U1096" s="321"/>
      <c r="V1096" s="321"/>
      <c r="W1096" s="321"/>
      <c r="X1096" s="321"/>
      <c r="Y1096" s="322"/>
    </row>
    <row r="1097" spans="1:25" x14ac:dyDescent="0.25">
      <c r="A1097" s="320"/>
      <c r="B1097" s="321"/>
      <c r="C1097" s="321"/>
      <c r="D1097" s="321"/>
      <c r="E1097" s="321"/>
      <c r="F1097" s="321"/>
      <c r="G1097" s="321"/>
      <c r="H1097" s="321"/>
      <c r="I1097" s="321"/>
      <c r="J1097" s="321"/>
      <c r="K1097" s="321"/>
      <c r="L1097" s="321"/>
      <c r="M1097" s="321"/>
      <c r="N1097" s="321"/>
      <c r="O1097" s="321"/>
      <c r="P1097" s="321"/>
      <c r="Q1097" s="321"/>
      <c r="R1097" s="321"/>
      <c r="S1097" s="321"/>
      <c r="T1097" s="321"/>
      <c r="U1097" s="321"/>
      <c r="V1097" s="321"/>
      <c r="W1097" s="321"/>
      <c r="X1097" s="321"/>
      <c r="Y1097" s="322"/>
    </row>
    <row r="1098" spans="1:25" x14ac:dyDescent="0.25">
      <c r="A1098" s="320"/>
      <c r="B1098" s="321"/>
      <c r="C1098" s="321"/>
      <c r="D1098" s="321"/>
      <c r="E1098" s="321"/>
      <c r="F1098" s="321"/>
      <c r="G1098" s="321"/>
      <c r="H1098" s="321"/>
      <c r="I1098" s="321"/>
      <c r="J1098" s="321"/>
      <c r="K1098" s="321"/>
      <c r="L1098" s="321"/>
      <c r="M1098" s="321"/>
      <c r="N1098" s="321"/>
      <c r="O1098" s="321"/>
      <c r="P1098" s="321"/>
      <c r="Q1098" s="321"/>
      <c r="R1098" s="321"/>
      <c r="S1098" s="321"/>
      <c r="T1098" s="321"/>
      <c r="U1098" s="321"/>
      <c r="V1098" s="321"/>
      <c r="W1098" s="321"/>
      <c r="X1098" s="321"/>
      <c r="Y1098" s="322"/>
    </row>
    <row r="1099" spans="1:25" x14ac:dyDescent="0.25">
      <c r="A1099" s="320"/>
      <c r="B1099" s="321"/>
      <c r="C1099" s="321"/>
      <c r="D1099" s="321"/>
      <c r="E1099" s="321"/>
      <c r="F1099" s="321"/>
      <c r="G1099" s="321"/>
      <c r="H1099" s="321"/>
      <c r="I1099" s="321"/>
      <c r="J1099" s="321"/>
      <c r="K1099" s="321"/>
      <c r="L1099" s="321"/>
      <c r="M1099" s="321"/>
      <c r="N1099" s="321"/>
      <c r="O1099" s="321"/>
      <c r="P1099" s="321"/>
      <c r="Q1099" s="321"/>
      <c r="R1099" s="321"/>
      <c r="S1099" s="321"/>
      <c r="T1099" s="321"/>
      <c r="U1099" s="321"/>
      <c r="V1099" s="321"/>
      <c r="W1099" s="321"/>
      <c r="X1099" s="321"/>
      <c r="Y1099" s="322"/>
    </row>
    <row r="1100" spans="1:25" x14ac:dyDescent="0.25">
      <c r="A1100" s="320"/>
      <c r="B1100" s="321"/>
      <c r="C1100" s="321"/>
      <c r="D1100" s="321"/>
      <c r="E1100" s="321"/>
      <c r="F1100" s="321"/>
      <c r="G1100" s="321"/>
      <c r="H1100" s="321"/>
      <c r="I1100" s="321"/>
      <c r="J1100" s="321"/>
      <c r="K1100" s="321"/>
      <c r="L1100" s="321"/>
      <c r="M1100" s="321"/>
      <c r="N1100" s="321"/>
      <c r="O1100" s="321"/>
      <c r="P1100" s="321"/>
      <c r="Q1100" s="321"/>
      <c r="R1100" s="321"/>
      <c r="S1100" s="321"/>
      <c r="T1100" s="321"/>
      <c r="U1100" s="321"/>
      <c r="V1100" s="321"/>
      <c r="W1100" s="321"/>
      <c r="X1100" s="321"/>
      <c r="Y1100" s="322"/>
    </row>
    <row r="1101" spans="1:25" x14ac:dyDescent="0.25">
      <c r="A1101" s="320"/>
      <c r="B1101" s="321"/>
      <c r="C1101" s="321"/>
      <c r="D1101" s="321"/>
      <c r="E1101" s="321"/>
      <c r="F1101" s="321"/>
      <c r="G1101" s="321"/>
      <c r="H1101" s="321"/>
      <c r="I1101" s="321"/>
      <c r="J1101" s="321"/>
      <c r="K1101" s="321"/>
      <c r="L1101" s="321"/>
      <c r="M1101" s="321"/>
      <c r="N1101" s="321"/>
      <c r="O1101" s="321"/>
      <c r="P1101" s="321"/>
      <c r="Q1101" s="321"/>
      <c r="R1101" s="321"/>
      <c r="S1101" s="321"/>
      <c r="T1101" s="321"/>
      <c r="U1101" s="321"/>
      <c r="V1101" s="321"/>
      <c r="W1101" s="321"/>
      <c r="X1101" s="321"/>
      <c r="Y1101" s="322"/>
    </row>
    <row r="1102" spans="1:25" x14ac:dyDescent="0.25">
      <c r="A1102" s="320"/>
      <c r="B1102" s="321"/>
      <c r="C1102" s="321"/>
      <c r="D1102" s="321"/>
      <c r="E1102" s="321"/>
      <c r="F1102" s="321"/>
      <c r="G1102" s="321"/>
      <c r="H1102" s="321"/>
      <c r="I1102" s="321"/>
      <c r="J1102" s="321"/>
      <c r="K1102" s="321"/>
      <c r="L1102" s="321"/>
      <c r="M1102" s="321"/>
      <c r="N1102" s="321"/>
      <c r="O1102" s="321"/>
      <c r="P1102" s="321"/>
      <c r="Q1102" s="321"/>
      <c r="R1102" s="321"/>
      <c r="S1102" s="321"/>
      <c r="T1102" s="321"/>
      <c r="U1102" s="321"/>
      <c r="V1102" s="321"/>
      <c r="W1102" s="321"/>
      <c r="X1102" s="321"/>
      <c r="Y1102" s="322"/>
    </row>
    <row r="1103" spans="1:25" x14ac:dyDescent="0.25">
      <c r="A1103" s="320"/>
      <c r="B1103" s="321"/>
      <c r="C1103" s="321"/>
      <c r="D1103" s="321"/>
      <c r="E1103" s="321"/>
      <c r="F1103" s="321"/>
      <c r="G1103" s="321"/>
      <c r="H1103" s="321"/>
      <c r="I1103" s="321"/>
      <c r="J1103" s="321"/>
      <c r="K1103" s="321"/>
      <c r="L1103" s="321"/>
      <c r="M1103" s="321"/>
      <c r="N1103" s="321"/>
      <c r="O1103" s="321"/>
      <c r="P1103" s="321"/>
      <c r="Q1103" s="321"/>
      <c r="R1103" s="321"/>
      <c r="S1103" s="321"/>
      <c r="T1103" s="321"/>
      <c r="U1103" s="321"/>
      <c r="V1103" s="321"/>
      <c r="W1103" s="321"/>
      <c r="X1103" s="321"/>
      <c r="Y1103" s="322"/>
    </row>
    <row r="1104" spans="1:25" x14ac:dyDescent="0.25">
      <c r="A1104" s="320"/>
      <c r="B1104" s="321"/>
      <c r="C1104" s="321"/>
      <c r="D1104" s="321"/>
      <c r="E1104" s="321"/>
      <c r="F1104" s="321"/>
      <c r="G1104" s="321"/>
      <c r="H1104" s="321"/>
      <c r="I1104" s="321"/>
      <c r="J1104" s="321"/>
      <c r="K1104" s="321"/>
      <c r="L1104" s="321"/>
      <c r="M1104" s="321"/>
      <c r="N1104" s="321"/>
      <c r="O1104" s="321"/>
      <c r="P1104" s="321"/>
      <c r="Q1104" s="321"/>
      <c r="R1104" s="321"/>
      <c r="S1104" s="321"/>
      <c r="T1104" s="321"/>
      <c r="U1104" s="321"/>
      <c r="V1104" s="321"/>
      <c r="W1104" s="321"/>
      <c r="X1104" s="321"/>
      <c r="Y1104" s="322"/>
    </row>
    <row r="1105" spans="1:25" ht="15.75" thickBot="1" x14ac:dyDescent="0.3">
      <c r="A1105" s="323"/>
      <c r="B1105" s="324"/>
      <c r="C1105" s="324"/>
      <c r="D1105" s="324"/>
      <c r="E1105" s="324"/>
      <c r="F1105" s="324"/>
      <c r="G1105" s="324"/>
      <c r="H1105" s="324"/>
      <c r="I1105" s="324"/>
      <c r="J1105" s="324"/>
      <c r="K1105" s="324"/>
      <c r="L1105" s="324"/>
      <c r="M1105" s="324"/>
      <c r="N1105" s="324"/>
      <c r="O1105" s="324"/>
      <c r="P1105" s="324"/>
      <c r="Q1105" s="324"/>
      <c r="R1105" s="324"/>
      <c r="S1105" s="324"/>
      <c r="T1105" s="324"/>
      <c r="U1105" s="324"/>
      <c r="V1105" s="324"/>
      <c r="W1105" s="324"/>
      <c r="X1105" s="324"/>
      <c r="Y1105" s="325"/>
    </row>
    <row r="1107" spans="1:25" ht="15.75" thickBot="1" x14ac:dyDescent="0.3">
      <c r="A1107" s="326" t="s">
        <v>29</v>
      </c>
      <c r="B1107" s="326"/>
      <c r="C1107" s="326"/>
      <c r="D1107" s="326"/>
    </row>
    <row r="1108" spans="1:25" x14ac:dyDescent="0.25">
      <c r="A1108" s="317" t="s">
        <v>429</v>
      </c>
      <c r="B1108" s="318"/>
      <c r="C1108" s="318"/>
      <c r="D1108" s="318"/>
      <c r="E1108" s="318"/>
      <c r="F1108" s="318"/>
      <c r="G1108" s="318"/>
      <c r="H1108" s="318"/>
      <c r="I1108" s="318"/>
      <c r="J1108" s="318"/>
      <c r="K1108" s="318"/>
      <c r="L1108" s="318"/>
      <c r="M1108" s="318"/>
      <c r="N1108" s="318"/>
      <c r="O1108" s="318"/>
      <c r="P1108" s="318"/>
      <c r="Q1108" s="318"/>
      <c r="R1108" s="318"/>
      <c r="S1108" s="318"/>
      <c r="T1108" s="318"/>
      <c r="U1108" s="318"/>
      <c r="V1108" s="318"/>
      <c r="W1108" s="318"/>
      <c r="X1108" s="318"/>
      <c r="Y1108" s="319"/>
    </row>
    <row r="1109" spans="1:25" x14ac:dyDescent="0.25">
      <c r="A1109" s="320"/>
      <c r="B1109" s="321"/>
      <c r="C1109" s="321"/>
      <c r="D1109" s="321"/>
      <c r="E1109" s="321"/>
      <c r="F1109" s="321"/>
      <c r="G1109" s="321"/>
      <c r="H1109" s="321"/>
      <c r="I1109" s="321"/>
      <c r="J1109" s="321"/>
      <c r="K1109" s="321"/>
      <c r="L1109" s="321"/>
      <c r="M1109" s="321"/>
      <c r="N1109" s="321"/>
      <c r="O1109" s="321"/>
      <c r="P1109" s="321"/>
      <c r="Q1109" s="321"/>
      <c r="R1109" s="321"/>
      <c r="S1109" s="321"/>
      <c r="T1109" s="321"/>
      <c r="U1109" s="321"/>
      <c r="V1109" s="321"/>
      <c r="W1109" s="321"/>
      <c r="X1109" s="321"/>
      <c r="Y1109" s="322"/>
    </row>
    <row r="1110" spans="1:25" x14ac:dyDescent="0.25">
      <c r="A1110" s="320"/>
      <c r="B1110" s="321"/>
      <c r="C1110" s="321"/>
      <c r="D1110" s="321"/>
      <c r="E1110" s="321"/>
      <c r="F1110" s="321"/>
      <c r="G1110" s="321"/>
      <c r="H1110" s="321"/>
      <c r="I1110" s="321"/>
      <c r="J1110" s="321"/>
      <c r="K1110" s="321"/>
      <c r="L1110" s="321"/>
      <c r="M1110" s="321"/>
      <c r="N1110" s="321"/>
      <c r="O1110" s="321"/>
      <c r="P1110" s="321"/>
      <c r="Q1110" s="321"/>
      <c r="R1110" s="321"/>
      <c r="S1110" s="321"/>
      <c r="T1110" s="321"/>
      <c r="U1110" s="321"/>
      <c r="V1110" s="321"/>
      <c r="W1110" s="321"/>
      <c r="X1110" s="321"/>
      <c r="Y1110" s="322"/>
    </row>
    <row r="1111" spans="1:25" x14ac:dyDescent="0.25">
      <c r="A1111" s="320"/>
      <c r="B1111" s="321"/>
      <c r="C1111" s="321"/>
      <c r="D1111" s="321"/>
      <c r="E1111" s="321"/>
      <c r="F1111" s="321"/>
      <c r="G1111" s="321"/>
      <c r="H1111" s="321"/>
      <c r="I1111" s="321"/>
      <c r="J1111" s="321"/>
      <c r="K1111" s="321"/>
      <c r="L1111" s="321"/>
      <c r="M1111" s="321"/>
      <c r="N1111" s="321"/>
      <c r="O1111" s="321"/>
      <c r="P1111" s="321"/>
      <c r="Q1111" s="321"/>
      <c r="R1111" s="321"/>
      <c r="S1111" s="321"/>
      <c r="T1111" s="321"/>
      <c r="U1111" s="321"/>
      <c r="V1111" s="321"/>
      <c r="W1111" s="321"/>
      <c r="X1111" s="321"/>
      <c r="Y1111" s="322"/>
    </row>
    <row r="1112" spans="1:25" x14ac:dyDescent="0.25">
      <c r="A1112" s="320"/>
      <c r="B1112" s="321"/>
      <c r="C1112" s="321"/>
      <c r="D1112" s="321"/>
      <c r="E1112" s="321"/>
      <c r="F1112" s="321"/>
      <c r="G1112" s="321"/>
      <c r="H1112" s="321"/>
      <c r="I1112" s="321"/>
      <c r="J1112" s="321"/>
      <c r="K1112" s="321"/>
      <c r="L1112" s="321"/>
      <c r="M1112" s="321"/>
      <c r="N1112" s="321"/>
      <c r="O1112" s="321"/>
      <c r="P1112" s="321"/>
      <c r="Q1112" s="321"/>
      <c r="R1112" s="321"/>
      <c r="S1112" s="321"/>
      <c r="T1112" s="321"/>
      <c r="U1112" s="321"/>
      <c r="V1112" s="321"/>
      <c r="W1112" s="321"/>
      <c r="X1112" s="321"/>
      <c r="Y1112" s="322"/>
    </row>
    <row r="1113" spans="1:25" x14ac:dyDescent="0.25">
      <c r="A1113" s="320"/>
      <c r="B1113" s="321"/>
      <c r="C1113" s="321"/>
      <c r="D1113" s="321"/>
      <c r="E1113" s="321"/>
      <c r="F1113" s="321"/>
      <c r="G1113" s="321"/>
      <c r="H1113" s="321"/>
      <c r="I1113" s="321"/>
      <c r="J1113" s="321"/>
      <c r="K1113" s="321"/>
      <c r="L1113" s="321"/>
      <c r="M1113" s="321"/>
      <c r="N1113" s="321"/>
      <c r="O1113" s="321"/>
      <c r="P1113" s="321"/>
      <c r="Q1113" s="321"/>
      <c r="R1113" s="321"/>
      <c r="S1113" s="321"/>
      <c r="T1113" s="321"/>
      <c r="U1113" s="321"/>
      <c r="V1113" s="321"/>
      <c r="W1113" s="321"/>
      <c r="X1113" s="321"/>
      <c r="Y1113" s="322"/>
    </row>
    <row r="1114" spans="1:25" ht="15.75" thickBot="1" x14ac:dyDescent="0.3">
      <c r="A1114" s="323"/>
      <c r="B1114" s="324"/>
      <c r="C1114" s="324"/>
      <c r="D1114" s="324"/>
      <c r="E1114" s="324"/>
      <c r="F1114" s="324"/>
      <c r="G1114" s="324"/>
      <c r="H1114" s="324"/>
      <c r="I1114" s="324"/>
      <c r="J1114" s="324"/>
      <c r="K1114" s="324"/>
      <c r="L1114" s="324"/>
      <c r="M1114" s="324"/>
      <c r="N1114" s="324"/>
      <c r="O1114" s="324"/>
      <c r="P1114" s="324"/>
      <c r="Q1114" s="324"/>
      <c r="R1114" s="324"/>
      <c r="S1114" s="324"/>
      <c r="T1114" s="324"/>
      <c r="U1114" s="324"/>
      <c r="V1114" s="324"/>
      <c r="W1114" s="324"/>
      <c r="X1114" s="324"/>
      <c r="Y1114" s="325"/>
    </row>
    <row r="1116" spans="1:25" ht="15.75" thickBot="1" x14ac:dyDescent="0.3">
      <c r="A1116" s="326" t="s">
        <v>27</v>
      </c>
      <c r="B1116" s="326"/>
      <c r="C1116" s="326"/>
      <c r="D1116" s="326"/>
      <c r="E1116" s="326"/>
      <c r="F1116" s="326"/>
      <c r="G1116" s="326"/>
      <c r="H1116" s="326"/>
    </row>
    <row r="1117" spans="1:25" ht="15.75" thickBot="1" x14ac:dyDescent="0.3">
      <c r="A1117" s="327" t="s">
        <v>262</v>
      </c>
      <c r="B1117" s="328"/>
      <c r="C1117" s="328"/>
      <c r="D1117" s="328"/>
      <c r="E1117" s="328"/>
      <c r="F1117" s="328"/>
      <c r="G1117" s="328"/>
      <c r="H1117" s="328"/>
      <c r="I1117" s="328"/>
      <c r="J1117" s="328"/>
      <c r="K1117" s="328"/>
      <c r="L1117" s="328"/>
      <c r="M1117" s="328"/>
      <c r="N1117" s="328"/>
      <c r="O1117" s="328"/>
      <c r="P1117" s="328"/>
      <c r="Q1117" s="328"/>
      <c r="R1117" s="328"/>
      <c r="S1117" s="328"/>
      <c r="T1117" s="328"/>
      <c r="U1117" s="328"/>
      <c r="V1117" s="328"/>
      <c r="W1117" s="328"/>
      <c r="X1117" s="328"/>
      <c r="Y1117" s="329"/>
    </row>
    <row r="1119" spans="1:25" ht="15.75" thickBot="1" x14ac:dyDescent="0.3">
      <c r="A1119" s="326" t="s">
        <v>121</v>
      </c>
      <c r="B1119" s="326"/>
      <c r="C1119" s="326"/>
      <c r="E1119" s="326" t="s">
        <v>122</v>
      </c>
      <c r="F1119" s="326"/>
      <c r="G1119" s="326"/>
    </row>
    <row r="1120" spans="1:25" ht="15.75" thickBot="1" x14ac:dyDescent="0.3">
      <c r="A1120" s="330" t="s">
        <v>65</v>
      </c>
      <c r="B1120" s="331"/>
      <c r="E1120" s="330" t="s">
        <v>66</v>
      </c>
      <c r="F1120" s="331"/>
    </row>
    <row r="1122" spans="1:25" s="12" customFormat="1" x14ac:dyDescent="0.25"/>
    <row r="1124" spans="1:25" ht="19.5" thickBot="1" x14ac:dyDescent="0.35">
      <c r="A1124" s="332" t="s">
        <v>104</v>
      </c>
      <c r="B1124" s="332"/>
      <c r="C1124" s="332"/>
      <c r="D1124" s="332"/>
      <c r="E1124" s="332"/>
      <c r="F1124" s="332"/>
      <c r="H1124" s="332" t="s">
        <v>442</v>
      </c>
      <c r="I1124" s="332"/>
      <c r="J1124" s="332"/>
    </row>
    <row r="1125" spans="1:25" x14ac:dyDescent="0.25">
      <c r="A1125" s="317" t="s">
        <v>443</v>
      </c>
      <c r="B1125" s="318"/>
      <c r="C1125" s="318"/>
      <c r="D1125" s="318"/>
      <c r="E1125" s="318"/>
      <c r="F1125" s="318"/>
      <c r="G1125" s="318"/>
      <c r="H1125" s="318"/>
      <c r="I1125" s="318"/>
      <c r="J1125" s="318"/>
      <c r="K1125" s="318"/>
      <c r="L1125" s="318"/>
      <c r="M1125" s="318"/>
      <c r="N1125" s="318"/>
      <c r="O1125" s="318"/>
      <c r="P1125" s="318"/>
      <c r="Q1125" s="318"/>
      <c r="R1125" s="318"/>
      <c r="S1125" s="318"/>
      <c r="T1125" s="318"/>
      <c r="U1125" s="318"/>
      <c r="V1125" s="318"/>
      <c r="W1125" s="318"/>
      <c r="X1125" s="318"/>
      <c r="Y1125" s="319"/>
    </row>
    <row r="1126" spans="1:25" x14ac:dyDescent="0.25">
      <c r="A1126" s="320"/>
      <c r="B1126" s="321"/>
      <c r="C1126" s="321"/>
      <c r="D1126" s="321"/>
      <c r="E1126" s="321"/>
      <c r="F1126" s="321"/>
      <c r="G1126" s="321"/>
      <c r="H1126" s="321"/>
      <c r="I1126" s="321"/>
      <c r="J1126" s="321"/>
      <c r="K1126" s="321"/>
      <c r="L1126" s="321"/>
      <c r="M1126" s="321"/>
      <c r="N1126" s="321"/>
      <c r="O1126" s="321"/>
      <c r="P1126" s="321"/>
      <c r="Q1126" s="321"/>
      <c r="R1126" s="321"/>
      <c r="S1126" s="321"/>
      <c r="T1126" s="321"/>
      <c r="U1126" s="321"/>
      <c r="V1126" s="321"/>
      <c r="W1126" s="321"/>
      <c r="X1126" s="321"/>
      <c r="Y1126" s="322"/>
    </row>
    <row r="1127" spans="1:25" x14ac:dyDescent="0.25">
      <c r="A1127" s="320"/>
      <c r="B1127" s="321"/>
      <c r="C1127" s="321"/>
      <c r="D1127" s="321"/>
      <c r="E1127" s="321"/>
      <c r="F1127" s="321"/>
      <c r="G1127" s="321"/>
      <c r="H1127" s="321"/>
      <c r="I1127" s="321"/>
      <c r="J1127" s="321"/>
      <c r="K1127" s="321"/>
      <c r="L1127" s="321"/>
      <c r="M1127" s="321"/>
      <c r="N1127" s="321"/>
      <c r="O1127" s="321"/>
      <c r="P1127" s="321"/>
      <c r="Q1127" s="321"/>
      <c r="R1127" s="321"/>
      <c r="S1127" s="321"/>
      <c r="T1127" s="321"/>
      <c r="U1127" s="321"/>
      <c r="V1127" s="321"/>
      <c r="W1127" s="321"/>
      <c r="X1127" s="321"/>
      <c r="Y1127" s="322"/>
    </row>
    <row r="1128" spans="1:25" x14ac:dyDescent="0.25">
      <c r="A1128" s="320"/>
      <c r="B1128" s="321"/>
      <c r="C1128" s="321"/>
      <c r="D1128" s="321"/>
      <c r="E1128" s="321"/>
      <c r="F1128" s="321"/>
      <c r="G1128" s="321"/>
      <c r="H1128" s="321"/>
      <c r="I1128" s="321"/>
      <c r="J1128" s="321"/>
      <c r="K1128" s="321"/>
      <c r="L1128" s="321"/>
      <c r="M1128" s="321"/>
      <c r="N1128" s="321"/>
      <c r="O1128" s="321"/>
      <c r="P1128" s="321"/>
      <c r="Q1128" s="321"/>
      <c r="R1128" s="321"/>
      <c r="S1128" s="321"/>
      <c r="T1128" s="321"/>
      <c r="U1128" s="321"/>
      <c r="V1128" s="321"/>
      <c r="W1128" s="321"/>
      <c r="X1128" s="321"/>
      <c r="Y1128" s="322"/>
    </row>
    <row r="1129" spans="1:25" x14ac:dyDescent="0.25">
      <c r="A1129" s="320"/>
      <c r="B1129" s="321"/>
      <c r="C1129" s="321"/>
      <c r="D1129" s="321"/>
      <c r="E1129" s="321"/>
      <c r="F1129" s="321"/>
      <c r="G1129" s="321"/>
      <c r="H1129" s="321"/>
      <c r="I1129" s="321"/>
      <c r="J1129" s="321"/>
      <c r="K1129" s="321"/>
      <c r="L1129" s="321"/>
      <c r="M1129" s="321"/>
      <c r="N1129" s="321"/>
      <c r="O1129" s="321"/>
      <c r="P1129" s="321"/>
      <c r="Q1129" s="321"/>
      <c r="R1129" s="321"/>
      <c r="S1129" s="321"/>
      <c r="T1129" s="321"/>
      <c r="U1129" s="321"/>
      <c r="V1129" s="321"/>
      <c r="W1129" s="321"/>
      <c r="X1129" s="321"/>
      <c r="Y1129" s="322"/>
    </row>
    <row r="1130" spans="1:25" x14ac:dyDescent="0.25">
      <c r="A1130" s="320"/>
      <c r="B1130" s="321"/>
      <c r="C1130" s="321"/>
      <c r="D1130" s="321"/>
      <c r="E1130" s="321"/>
      <c r="F1130" s="321"/>
      <c r="G1130" s="321"/>
      <c r="H1130" s="321"/>
      <c r="I1130" s="321"/>
      <c r="J1130" s="321"/>
      <c r="K1130" s="321"/>
      <c r="L1130" s="321"/>
      <c r="M1130" s="321"/>
      <c r="N1130" s="321"/>
      <c r="O1130" s="321"/>
      <c r="P1130" s="321"/>
      <c r="Q1130" s="321"/>
      <c r="R1130" s="321"/>
      <c r="S1130" s="321"/>
      <c r="T1130" s="321"/>
      <c r="U1130" s="321"/>
      <c r="V1130" s="321"/>
      <c r="W1130" s="321"/>
      <c r="X1130" s="321"/>
      <c r="Y1130" s="322"/>
    </row>
    <row r="1131" spans="1:25" x14ac:dyDescent="0.25">
      <c r="A1131" s="320"/>
      <c r="B1131" s="321"/>
      <c r="C1131" s="321"/>
      <c r="D1131" s="321"/>
      <c r="E1131" s="321"/>
      <c r="F1131" s="321"/>
      <c r="G1131" s="321"/>
      <c r="H1131" s="321"/>
      <c r="I1131" s="321"/>
      <c r="J1131" s="321"/>
      <c r="K1131" s="321"/>
      <c r="L1131" s="321"/>
      <c r="M1131" s="321"/>
      <c r="N1131" s="321"/>
      <c r="O1131" s="321"/>
      <c r="P1131" s="321"/>
      <c r="Q1131" s="321"/>
      <c r="R1131" s="321"/>
      <c r="S1131" s="321"/>
      <c r="T1131" s="321"/>
      <c r="U1131" s="321"/>
      <c r="V1131" s="321"/>
      <c r="W1131" s="321"/>
      <c r="X1131" s="321"/>
      <c r="Y1131" s="322"/>
    </row>
    <row r="1132" spans="1:25" x14ac:dyDescent="0.25">
      <c r="A1132" s="320"/>
      <c r="B1132" s="321"/>
      <c r="C1132" s="321"/>
      <c r="D1132" s="321"/>
      <c r="E1132" s="321"/>
      <c r="F1132" s="321"/>
      <c r="G1132" s="321"/>
      <c r="H1132" s="321"/>
      <c r="I1132" s="321"/>
      <c r="J1132" s="321"/>
      <c r="K1132" s="321"/>
      <c r="L1132" s="321"/>
      <c r="M1132" s="321"/>
      <c r="N1132" s="321"/>
      <c r="O1132" s="321"/>
      <c r="P1132" s="321"/>
      <c r="Q1132" s="321"/>
      <c r="R1132" s="321"/>
      <c r="S1132" s="321"/>
      <c r="T1132" s="321"/>
      <c r="U1132" s="321"/>
      <c r="V1132" s="321"/>
      <c r="W1132" s="321"/>
      <c r="X1132" s="321"/>
      <c r="Y1132" s="322"/>
    </row>
    <row r="1133" spans="1:25" x14ac:dyDescent="0.25">
      <c r="A1133" s="320"/>
      <c r="B1133" s="321"/>
      <c r="C1133" s="321"/>
      <c r="D1133" s="321"/>
      <c r="E1133" s="321"/>
      <c r="F1133" s="321"/>
      <c r="G1133" s="321"/>
      <c r="H1133" s="321"/>
      <c r="I1133" s="321"/>
      <c r="J1133" s="321"/>
      <c r="K1133" s="321"/>
      <c r="L1133" s="321"/>
      <c r="M1133" s="321"/>
      <c r="N1133" s="321"/>
      <c r="O1133" s="321"/>
      <c r="P1133" s="321"/>
      <c r="Q1133" s="321"/>
      <c r="R1133" s="321"/>
      <c r="S1133" s="321"/>
      <c r="T1133" s="321"/>
      <c r="U1133" s="321"/>
      <c r="V1133" s="321"/>
      <c r="W1133" s="321"/>
      <c r="X1133" s="321"/>
      <c r="Y1133" s="322"/>
    </row>
    <row r="1134" spans="1:25" x14ac:dyDescent="0.25">
      <c r="A1134" s="320"/>
      <c r="B1134" s="321"/>
      <c r="C1134" s="321"/>
      <c r="D1134" s="321"/>
      <c r="E1134" s="321"/>
      <c r="F1134" s="321"/>
      <c r="G1134" s="321"/>
      <c r="H1134" s="321"/>
      <c r="I1134" s="321"/>
      <c r="J1134" s="321"/>
      <c r="K1134" s="321"/>
      <c r="L1134" s="321"/>
      <c r="M1134" s="321"/>
      <c r="N1134" s="321"/>
      <c r="O1134" s="321"/>
      <c r="P1134" s="321"/>
      <c r="Q1134" s="321"/>
      <c r="R1134" s="321"/>
      <c r="S1134" s="321"/>
      <c r="T1134" s="321"/>
      <c r="U1134" s="321"/>
      <c r="V1134" s="321"/>
      <c r="W1134" s="321"/>
      <c r="X1134" s="321"/>
      <c r="Y1134" s="322"/>
    </row>
    <row r="1135" spans="1:25" x14ac:dyDescent="0.25">
      <c r="A1135" s="320"/>
      <c r="B1135" s="321"/>
      <c r="C1135" s="321"/>
      <c r="D1135" s="321"/>
      <c r="E1135" s="321"/>
      <c r="F1135" s="321"/>
      <c r="G1135" s="321"/>
      <c r="H1135" s="321"/>
      <c r="I1135" s="321"/>
      <c r="J1135" s="321"/>
      <c r="K1135" s="321"/>
      <c r="L1135" s="321"/>
      <c r="M1135" s="321"/>
      <c r="N1135" s="321"/>
      <c r="O1135" s="321"/>
      <c r="P1135" s="321"/>
      <c r="Q1135" s="321"/>
      <c r="R1135" s="321"/>
      <c r="S1135" s="321"/>
      <c r="T1135" s="321"/>
      <c r="U1135" s="321"/>
      <c r="V1135" s="321"/>
      <c r="W1135" s="321"/>
      <c r="X1135" s="321"/>
      <c r="Y1135" s="322"/>
    </row>
    <row r="1136" spans="1:25" x14ac:dyDescent="0.25">
      <c r="A1136" s="320"/>
      <c r="B1136" s="321"/>
      <c r="C1136" s="321"/>
      <c r="D1136" s="321"/>
      <c r="E1136" s="321"/>
      <c r="F1136" s="321"/>
      <c r="G1136" s="321"/>
      <c r="H1136" s="321"/>
      <c r="I1136" s="321"/>
      <c r="J1136" s="321"/>
      <c r="K1136" s="321"/>
      <c r="L1136" s="321"/>
      <c r="M1136" s="321"/>
      <c r="N1136" s="321"/>
      <c r="O1136" s="321"/>
      <c r="P1136" s="321"/>
      <c r="Q1136" s="321"/>
      <c r="R1136" s="321"/>
      <c r="S1136" s="321"/>
      <c r="T1136" s="321"/>
      <c r="U1136" s="321"/>
      <c r="V1136" s="321"/>
      <c r="W1136" s="321"/>
      <c r="X1136" s="321"/>
      <c r="Y1136" s="322"/>
    </row>
    <row r="1137" spans="1:25" x14ac:dyDescent="0.25">
      <c r="A1137" s="320"/>
      <c r="B1137" s="321"/>
      <c r="C1137" s="321"/>
      <c r="D1137" s="321"/>
      <c r="E1137" s="321"/>
      <c r="F1137" s="321"/>
      <c r="G1137" s="321"/>
      <c r="H1137" s="321"/>
      <c r="I1137" s="321"/>
      <c r="J1137" s="321"/>
      <c r="K1137" s="321"/>
      <c r="L1137" s="321"/>
      <c r="M1137" s="321"/>
      <c r="N1137" s="321"/>
      <c r="O1137" s="321"/>
      <c r="P1137" s="321"/>
      <c r="Q1137" s="321"/>
      <c r="R1137" s="321"/>
      <c r="S1137" s="321"/>
      <c r="T1137" s="321"/>
      <c r="U1137" s="321"/>
      <c r="V1137" s="321"/>
      <c r="W1137" s="321"/>
      <c r="X1137" s="321"/>
      <c r="Y1137" s="322"/>
    </row>
    <row r="1138" spans="1:25" ht="15.75" thickBot="1" x14ac:dyDescent="0.3">
      <c r="A1138" s="323"/>
      <c r="B1138" s="324"/>
      <c r="C1138" s="324"/>
      <c r="D1138" s="324"/>
      <c r="E1138" s="324"/>
      <c r="F1138" s="324"/>
      <c r="G1138" s="324"/>
      <c r="H1138" s="324"/>
      <c r="I1138" s="324"/>
      <c r="J1138" s="324"/>
      <c r="K1138" s="324"/>
      <c r="L1138" s="324"/>
      <c r="M1138" s="324"/>
      <c r="N1138" s="324"/>
      <c r="O1138" s="324"/>
      <c r="P1138" s="324"/>
      <c r="Q1138" s="324"/>
      <c r="R1138" s="324"/>
      <c r="S1138" s="324"/>
      <c r="T1138" s="324"/>
      <c r="U1138" s="324"/>
      <c r="V1138" s="324"/>
      <c r="W1138" s="324"/>
      <c r="X1138" s="324"/>
      <c r="Y1138" s="325"/>
    </row>
    <row r="1140" spans="1:25" ht="15.75" thickBot="1" x14ac:dyDescent="0.3">
      <c r="A1140" s="326" t="s">
        <v>29</v>
      </c>
      <c r="B1140" s="326"/>
      <c r="C1140" s="326"/>
      <c r="D1140" s="326"/>
    </row>
    <row r="1141" spans="1:25" x14ac:dyDescent="0.25">
      <c r="A1141" s="317" t="s">
        <v>444</v>
      </c>
      <c r="B1141" s="318"/>
      <c r="C1141" s="318"/>
      <c r="D1141" s="318"/>
      <c r="E1141" s="318"/>
      <c r="F1141" s="318"/>
      <c r="G1141" s="318"/>
      <c r="H1141" s="318"/>
      <c r="I1141" s="318"/>
      <c r="J1141" s="318"/>
      <c r="K1141" s="318"/>
      <c r="L1141" s="318"/>
      <c r="M1141" s="318"/>
      <c r="N1141" s="318"/>
      <c r="O1141" s="318"/>
      <c r="P1141" s="318"/>
      <c r="Q1141" s="318"/>
      <c r="R1141" s="318"/>
      <c r="S1141" s="318"/>
      <c r="T1141" s="318"/>
      <c r="U1141" s="318"/>
      <c r="V1141" s="318"/>
      <c r="W1141" s="318"/>
      <c r="X1141" s="318"/>
      <c r="Y1141" s="319"/>
    </row>
    <row r="1142" spans="1:25" x14ac:dyDescent="0.25">
      <c r="A1142" s="320"/>
      <c r="B1142" s="321"/>
      <c r="C1142" s="321"/>
      <c r="D1142" s="321"/>
      <c r="E1142" s="321"/>
      <c r="F1142" s="321"/>
      <c r="G1142" s="321"/>
      <c r="H1142" s="321"/>
      <c r="I1142" s="321"/>
      <c r="J1142" s="321"/>
      <c r="K1142" s="321"/>
      <c r="L1142" s="321"/>
      <c r="M1142" s="321"/>
      <c r="N1142" s="321"/>
      <c r="O1142" s="321"/>
      <c r="P1142" s="321"/>
      <c r="Q1142" s="321"/>
      <c r="R1142" s="321"/>
      <c r="S1142" s="321"/>
      <c r="T1142" s="321"/>
      <c r="U1142" s="321"/>
      <c r="V1142" s="321"/>
      <c r="W1142" s="321"/>
      <c r="X1142" s="321"/>
      <c r="Y1142" s="322"/>
    </row>
    <row r="1143" spans="1:25" x14ac:dyDescent="0.25">
      <c r="A1143" s="320"/>
      <c r="B1143" s="321"/>
      <c r="C1143" s="321"/>
      <c r="D1143" s="321"/>
      <c r="E1143" s="321"/>
      <c r="F1143" s="321"/>
      <c r="G1143" s="321"/>
      <c r="H1143" s="321"/>
      <c r="I1143" s="321"/>
      <c r="J1143" s="321"/>
      <c r="K1143" s="321"/>
      <c r="L1143" s="321"/>
      <c r="M1143" s="321"/>
      <c r="N1143" s="321"/>
      <c r="O1143" s="321"/>
      <c r="P1143" s="321"/>
      <c r="Q1143" s="321"/>
      <c r="R1143" s="321"/>
      <c r="S1143" s="321"/>
      <c r="T1143" s="321"/>
      <c r="U1143" s="321"/>
      <c r="V1143" s="321"/>
      <c r="W1143" s="321"/>
      <c r="X1143" s="321"/>
      <c r="Y1143" s="322"/>
    </row>
    <row r="1144" spans="1:25" x14ac:dyDescent="0.25">
      <c r="A1144" s="320"/>
      <c r="B1144" s="321"/>
      <c r="C1144" s="321"/>
      <c r="D1144" s="321"/>
      <c r="E1144" s="321"/>
      <c r="F1144" s="321"/>
      <c r="G1144" s="321"/>
      <c r="H1144" s="321"/>
      <c r="I1144" s="321"/>
      <c r="J1144" s="321"/>
      <c r="K1144" s="321"/>
      <c r="L1144" s="321"/>
      <c r="M1144" s="321"/>
      <c r="N1144" s="321"/>
      <c r="O1144" s="321"/>
      <c r="P1144" s="321"/>
      <c r="Q1144" s="321"/>
      <c r="R1144" s="321"/>
      <c r="S1144" s="321"/>
      <c r="T1144" s="321"/>
      <c r="U1144" s="321"/>
      <c r="V1144" s="321"/>
      <c r="W1144" s="321"/>
      <c r="X1144" s="321"/>
      <c r="Y1144" s="322"/>
    </row>
    <row r="1145" spans="1:25" x14ac:dyDescent="0.25">
      <c r="A1145" s="320"/>
      <c r="B1145" s="321"/>
      <c r="C1145" s="321"/>
      <c r="D1145" s="321"/>
      <c r="E1145" s="321"/>
      <c r="F1145" s="321"/>
      <c r="G1145" s="321"/>
      <c r="H1145" s="321"/>
      <c r="I1145" s="321"/>
      <c r="J1145" s="321"/>
      <c r="K1145" s="321"/>
      <c r="L1145" s="321"/>
      <c r="M1145" s="321"/>
      <c r="N1145" s="321"/>
      <c r="O1145" s="321"/>
      <c r="P1145" s="321"/>
      <c r="Q1145" s="321"/>
      <c r="R1145" s="321"/>
      <c r="S1145" s="321"/>
      <c r="T1145" s="321"/>
      <c r="U1145" s="321"/>
      <c r="V1145" s="321"/>
      <c r="W1145" s="321"/>
      <c r="X1145" s="321"/>
      <c r="Y1145" s="322"/>
    </row>
    <row r="1146" spans="1:25" x14ac:dyDescent="0.25">
      <c r="A1146" s="320"/>
      <c r="B1146" s="321"/>
      <c r="C1146" s="321"/>
      <c r="D1146" s="321"/>
      <c r="E1146" s="321"/>
      <c r="F1146" s="321"/>
      <c r="G1146" s="321"/>
      <c r="H1146" s="321"/>
      <c r="I1146" s="321"/>
      <c r="J1146" s="321"/>
      <c r="K1146" s="321"/>
      <c r="L1146" s="321"/>
      <c r="M1146" s="321"/>
      <c r="N1146" s="321"/>
      <c r="O1146" s="321"/>
      <c r="P1146" s="321"/>
      <c r="Q1146" s="321"/>
      <c r="R1146" s="321"/>
      <c r="S1146" s="321"/>
      <c r="T1146" s="321"/>
      <c r="U1146" s="321"/>
      <c r="V1146" s="321"/>
      <c r="W1146" s="321"/>
      <c r="X1146" s="321"/>
      <c r="Y1146" s="322"/>
    </row>
    <row r="1147" spans="1:25" ht="15.75" thickBot="1" x14ac:dyDescent="0.3">
      <c r="A1147" s="323"/>
      <c r="B1147" s="324"/>
      <c r="C1147" s="324"/>
      <c r="D1147" s="324"/>
      <c r="E1147" s="324"/>
      <c r="F1147" s="324"/>
      <c r="G1147" s="324"/>
      <c r="H1147" s="324"/>
      <c r="I1147" s="324"/>
      <c r="J1147" s="324"/>
      <c r="K1147" s="324"/>
      <c r="L1147" s="324"/>
      <c r="M1147" s="324"/>
      <c r="N1147" s="324"/>
      <c r="O1147" s="324"/>
      <c r="P1147" s="324"/>
      <c r="Q1147" s="324"/>
      <c r="R1147" s="324"/>
      <c r="S1147" s="324"/>
      <c r="T1147" s="324"/>
      <c r="U1147" s="324"/>
      <c r="V1147" s="324"/>
      <c r="W1147" s="324"/>
      <c r="X1147" s="324"/>
      <c r="Y1147" s="325"/>
    </row>
    <row r="1149" spans="1:25" ht="15.75" thickBot="1" x14ac:dyDescent="0.3">
      <c r="A1149" s="326" t="s">
        <v>27</v>
      </c>
      <c r="B1149" s="326"/>
      <c r="C1149" s="326"/>
      <c r="D1149" s="326"/>
      <c r="E1149" s="326"/>
      <c r="F1149" s="326"/>
      <c r="G1149" s="326"/>
      <c r="H1149" s="326"/>
    </row>
    <row r="1150" spans="1:25" ht="15.75" thickBot="1" x14ac:dyDescent="0.3">
      <c r="A1150" s="327" t="s">
        <v>445</v>
      </c>
      <c r="B1150" s="328"/>
      <c r="C1150" s="328"/>
      <c r="D1150" s="328"/>
      <c r="E1150" s="328"/>
      <c r="F1150" s="328"/>
      <c r="G1150" s="328"/>
      <c r="H1150" s="328"/>
      <c r="I1150" s="328"/>
      <c r="J1150" s="328"/>
      <c r="K1150" s="328"/>
      <c r="L1150" s="328"/>
      <c r="M1150" s="328"/>
      <c r="N1150" s="328"/>
      <c r="O1150" s="328"/>
      <c r="P1150" s="328"/>
      <c r="Q1150" s="328"/>
      <c r="R1150" s="328"/>
      <c r="S1150" s="328"/>
      <c r="T1150" s="328"/>
      <c r="U1150" s="328"/>
      <c r="V1150" s="328"/>
      <c r="W1150" s="328"/>
      <c r="X1150" s="328"/>
      <c r="Y1150" s="329"/>
    </row>
    <row r="1152" spans="1:25" ht="15.75" thickBot="1" x14ac:dyDescent="0.3">
      <c r="A1152" s="326" t="s">
        <v>121</v>
      </c>
      <c r="B1152" s="326"/>
      <c r="C1152" s="326"/>
      <c r="E1152" s="326" t="s">
        <v>122</v>
      </c>
      <c r="F1152" s="326"/>
      <c r="G1152" s="326"/>
    </row>
    <row r="1153" spans="1:25" ht="15.75" thickBot="1" x14ac:dyDescent="0.3">
      <c r="A1153" s="330" t="s">
        <v>63</v>
      </c>
      <c r="B1153" s="331"/>
      <c r="E1153" s="330" t="s">
        <v>66</v>
      </c>
      <c r="F1153" s="331"/>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row r="1157" spans="1:25" ht="19.5" thickBot="1" x14ac:dyDescent="0.35">
      <c r="A1157" s="332" t="s">
        <v>450</v>
      </c>
      <c r="B1157" s="332"/>
      <c r="C1157" s="332"/>
      <c r="D1157" s="332"/>
      <c r="E1157" s="332"/>
      <c r="F1157" s="332"/>
      <c r="H1157" s="332" t="s">
        <v>451</v>
      </c>
      <c r="I1157" s="332"/>
      <c r="J1157" s="332"/>
    </row>
    <row r="1158" spans="1:25" x14ac:dyDescent="0.25">
      <c r="A1158" s="317" t="s">
        <v>454</v>
      </c>
      <c r="B1158" s="318"/>
      <c r="C1158" s="318"/>
      <c r="D1158" s="318"/>
      <c r="E1158" s="318"/>
      <c r="F1158" s="318"/>
      <c r="G1158" s="318"/>
      <c r="H1158" s="318"/>
      <c r="I1158" s="318"/>
      <c r="J1158" s="318"/>
      <c r="K1158" s="318"/>
      <c r="L1158" s="318"/>
      <c r="M1158" s="318"/>
      <c r="N1158" s="318"/>
      <c r="O1158" s="318"/>
      <c r="P1158" s="318"/>
      <c r="Q1158" s="318"/>
      <c r="R1158" s="318"/>
      <c r="S1158" s="318"/>
      <c r="T1158" s="318"/>
      <c r="U1158" s="318"/>
      <c r="V1158" s="318"/>
      <c r="W1158" s="318"/>
      <c r="X1158" s="318"/>
      <c r="Y1158" s="319"/>
    </row>
    <row r="1159" spans="1:25" x14ac:dyDescent="0.25">
      <c r="A1159" s="320"/>
      <c r="B1159" s="321"/>
      <c r="C1159" s="321"/>
      <c r="D1159" s="321"/>
      <c r="E1159" s="321"/>
      <c r="F1159" s="321"/>
      <c r="G1159" s="321"/>
      <c r="H1159" s="321"/>
      <c r="I1159" s="321"/>
      <c r="J1159" s="321"/>
      <c r="K1159" s="321"/>
      <c r="L1159" s="321"/>
      <c r="M1159" s="321"/>
      <c r="N1159" s="321"/>
      <c r="O1159" s="321"/>
      <c r="P1159" s="321"/>
      <c r="Q1159" s="321"/>
      <c r="R1159" s="321"/>
      <c r="S1159" s="321"/>
      <c r="T1159" s="321"/>
      <c r="U1159" s="321"/>
      <c r="V1159" s="321"/>
      <c r="W1159" s="321"/>
      <c r="X1159" s="321"/>
      <c r="Y1159" s="322"/>
    </row>
    <row r="1160" spans="1:25" x14ac:dyDescent="0.25">
      <c r="A1160" s="320"/>
      <c r="B1160" s="321"/>
      <c r="C1160" s="321"/>
      <c r="D1160" s="321"/>
      <c r="E1160" s="321"/>
      <c r="F1160" s="321"/>
      <c r="G1160" s="321"/>
      <c r="H1160" s="321"/>
      <c r="I1160" s="321"/>
      <c r="J1160" s="321"/>
      <c r="K1160" s="321"/>
      <c r="L1160" s="321"/>
      <c r="M1160" s="321"/>
      <c r="N1160" s="321"/>
      <c r="O1160" s="321"/>
      <c r="P1160" s="321"/>
      <c r="Q1160" s="321"/>
      <c r="R1160" s="321"/>
      <c r="S1160" s="321"/>
      <c r="T1160" s="321"/>
      <c r="U1160" s="321"/>
      <c r="V1160" s="321"/>
      <c r="W1160" s="321"/>
      <c r="X1160" s="321"/>
      <c r="Y1160" s="322"/>
    </row>
    <row r="1161" spans="1:25" x14ac:dyDescent="0.25">
      <c r="A1161" s="320"/>
      <c r="B1161" s="321"/>
      <c r="C1161" s="321"/>
      <c r="D1161" s="321"/>
      <c r="E1161" s="321"/>
      <c r="F1161" s="321"/>
      <c r="G1161" s="321"/>
      <c r="H1161" s="321"/>
      <c r="I1161" s="321"/>
      <c r="J1161" s="321"/>
      <c r="K1161" s="321"/>
      <c r="L1161" s="321"/>
      <c r="M1161" s="321"/>
      <c r="N1161" s="321"/>
      <c r="O1161" s="321"/>
      <c r="P1161" s="321"/>
      <c r="Q1161" s="321"/>
      <c r="R1161" s="321"/>
      <c r="S1161" s="321"/>
      <c r="T1161" s="321"/>
      <c r="U1161" s="321"/>
      <c r="V1161" s="321"/>
      <c r="W1161" s="321"/>
      <c r="X1161" s="321"/>
      <c r="Y1161" s="322"/>
    </row>
    <row r="1162" spans="1:25" x14ac:dyDescent="0.25">
      <c r="A1162" s="320"/>
      <c r="B1162" s="321"/>
      <c r="C1162" s="321"/>
      <c r="D1162" s="321"/>
      <c r="E1162" s="321"/>
      <c r="F1162" s="321"/>
      <c r="G1162" s="321"/>
      <c r="H1162" s="321"/>
      <c r="I1162" s="321"/>
      <c r="J1162" s="321"/>
      <c r="K1162" s="321"/>
      <c r="L1162" s="321"/>
      <c r="M1162" s="321"/>
      <c r="N1162" s="321"/>
      <c r="O1162" s="321"/>
      <c r="P1162" s="321"/>
      <c r="Q1162" s="321"/>
      <c r="R1162" s="321"/>
      <c r="S1162" s="321"/>
      <c r="T1162" s="321"/>
      <c r="U1162" s="321"/>
      <c r="V1162" s="321"/>
      <c r="W1162" s="321"/>
      <c r="X1162" s="321"/>
      <c r="Y1162" s="322"/>
    </row>
    <row r="1163" spans="1:25" x14ac:dyDescent="0.25">
      <c r="A1163" s="320"/>
      <c r="B1163" s="321"/>
      <c r="C1163" s="321"/>
      <c r="D1163" s="321"/>
      <c r="E1163" s="321"/>
      <c r="F1163" s="321"/>
      <c r="G1163" s="321"/>
      <c r="H1163" s="321"/>
      <c r="I1163" s="321"/>
      <c r="J1163" s="321"/>
      <c r="K1163" s="321"/>
      <c r="L1163" s="321"/>
      <c r="M1163" s="321"/>
      <c r="N1163" s="321"/>
      <c r="O1163" s="321"/>
      <c r="P1163" s="321"/>
      <c r="Q1163" s="321"/>
      <c r="R1163" s="321"/>
      <c r="S1163" s="321"/>
      <c r="T1163" s="321"/>
      <c r="U1163" s="321"/>
      <c r="V1163" s="321"/>
      <c r="W1163" s="321"/>
      <c r="X1163" s="321"/>
      <c r="Y1163" s="322"/>
    </row>
    <row r="1164" spans="1:25" x14ac:dyDescent="0.25">
      <c r="A1164" s="320"/>
      <c r="B1164" s="321"/>
      <c r="C1164" s="321"/>
      <c r="D1164" s="321"/>
      <c r="E1164" s="321"/>
      <c r="F1164" s="321"/>
      <c r="G1164" s="321"/>
      <c r="H1164" s="321"/>
      <c r="I1164" s="321"/>
      <c r="J1164" s="321"/>
      <c r="K1164" s="321"/>
      <c r="L1164" s="321"/>
      <c r="M1164" s="321"/>
      <c r="N1164" s="321"/>
      <c r="O1164" s="321"/>
      <c r="P1164" s="321"/>
      <c r="Q1164" s="321"/>
      <c r="R1164" s="321"/>
      <c r="S1164" s="321"/>
      <c r="T1164" s="321"/>
      <c r="U1164" s="321"/>
      <c r="V1164" s="321"/>
      <c r="W1164" s="321"/>
      <c r="X1164" s="321"/>
      <c r="Y1164" s="322"/>
    </row>
    <row r="1165" spans="1:25" x14ac:dyDescent="0.25">
      <c r="A1165" s="320"/>
      <c r="B1165" s="321"/>
      <c r="C1165" s="321"/>
      <c r="D1165" s="321"/>
      <c r="E1165" s="321"/>
      <c r="F1165" s="321"/>
      <c r="G1165" s="321"/>
      <c r="H1165" s="321"/>
      <c r="I1165" s="321"/>
      <c r="J1165" s="321"/>
      <c r="K1165" s="321"/>
      <c r="L1165" s="321"/>
      <c r="M1165" s="321"/>
      <c r="N1165" s="321"/>
      <c r="O1165" s="321"/>
      <c r="P1165" s="321"/>
      <c r="Q1165" s="321"/>
      <c r="R1165" s="321"/>
      <c r="S1165" s="321"/>
      <c r="T1165" s="321"/>
      <c r="U1165" s="321"/>
      <c r="V1165" s="321"/>
      <c r="W1165" s="321"/>
      <c r="X1165" s="321"/>
      <c r="Y1165" s="322"/>
    </row>
    <row r="1166" spans="1:25" x14ac:dyDescent="0.25">
      <c r="A1166" s="320"/>
      <c r="B1166" s="321"/>
      <c r="C1166" s="321"/>
      <c r="D1166" s="321"/>
      <c r="E1166" s="321"/>
      <c r="F1166" s="321"/>
      <c r="G1166" s="321"/>
      <c r="H1166" s="321"/>
      <c r="I1166" s="321"/>
      <c r="J1166" s="321"/>
      <c r="K1166" s="321"/>
      <c r="L1166" s="321"/>
      <c r="M1166" s="321"/>
      <c r="N1166" s="321"/>
      <c r="O1166" s="321"/>
      <c r="P1166" s="321"/>
      <c r="Q1166" s="321"/>
      <c r="R1166" s="321"/>
      <c r="S1166" s="321"/>
      <c r="T1166" s="321"/>
      <c r="U1166" s="321"/>
      <c r="V1166" s="321"/>
      <c r="W1166" s="321"/>
      <c r="X1166" s="321"/>
      <c r="Y1166" s="322"/>
    </row>
    <row r="1167" spans="1:25" x14ac:dyDescent="0.25">
      <c r="A1167" s="320"/>
      <c r="B1167" s="321"/>
      <c r="C1167" s="321"/>
      <c r="D1167" s="321"/>
      <c r="E1167" s="321"/>
      <c r="F1167" s="321"/>
      <c r="G1167" s="321"/>
      <c r="H1167" s="321"/>
      <c r="I1167" s="321"/>
      <c r="J1167" s="321"/>
      <c r="K1167" s="321"/>
      <c r="L1167" s="321"/>
      <c r="M1167" s="321"/>
      <c r="N1167" s="321"/>
      <c r="O1167" s="321"/>
      <c r="P1167" s="321"/>
      <c r="Q1167" s="321"/>
      <c r="R1167" s="321"/>
      <c r="S1167" s="321"/>
      <c r="T1167" s="321"/>
      <c r="U1167" s="321"/>
      <c r="V1167" s="321"/>
      <c r="W1167" s="321"/>
      <c r="X1167" s="321"/>
      <c r="Y1167" s="322"/>
    </row>
    <row r="1168" spans="1:25" x14ac:dyDescent="0.25">
      <c r="A1168" s="320"/>
      <c r="B1168" s="321"/>
      <c r="C1168" s="321"/>
      <c r="D1168" s="321"/>
      <c r="E1168" s="321"/>
      <c r="F1168" s="321"/>
      <c r="G1168" s="321"/>
      <c r="H1168" s="321"/>
      <c r="I1168" s="321"/>
      <c r="J1168" s="321"/>
      <c r="K1168" s="321"/>
      <c r="L1168" s="321"/>
      <c r="M1168" s="321"/>
      <c r="N1168" s="321"/>
      <c r="O1168" s="321"/>
      <c r="P1168" s="321"/>
      <c r="Q1168" s="321"/>
      <c r="R1168" s="321"/>
      <c r="S1168" s="321"/>
      <c r="T1168" s="321"/>
      <c r="U1168" s="321"/>
      <c r="V1168" s="321"/>
      <c r="W1168" s="321"/>
      <c r="X1168" s="321"/>
      <c r="Y1168" s="322"/>
    </row>
    <row r="1169" spans="1:25" x14ac:dyDescent="0.25">
      <c r="A1169" s="320"/>
      <c r="B1169" s="321"/>
      <c r="C1169" s="321"/>
      <c r="D1169" s="321"/>
      <c r="E1169" s="321"/>
      <c r="F1169" s="321"/>
      <c r="G1169" s="321"/>
      <c r="H1169" s="321"/>
      <c r="I1169" s="321"/>
      <c r="J1169" s="321"/>
      <c r="K1169" s="321"/>
      <c r="L1169" s="321"/>
      <c r="M1169" s="321"/>
      <c r="N1169" s="321"/>
      <c r="O1169" s="321"/>
      <c r="P1169" s="321"/>
      <c r="Q1169" s="321"/>
      <c r="R1169" s="321"/>
      <c r="S1169" s="321"/>
      <c r="T1169" s="321"/>
      <c r="U1169" s="321"/>
      <c r="V1169" s="321"/>
      <c r="W1169" s="321"/>
      <c r="X1169" s="321"/>
      <c r="Y1169" s="322"/>
    </row>
    <row r="1170" spans="1:25" x14ac:dyDescent="0.25">
      <c r="A1170" s="320"/>
      <c r="B1170" s="321"/>
      <c r="C1170" s="321"/>
      <c r="D1170" s="321"/>
      <c r="E1170" s="321"/>
      <c r="F1170" s="321"/>
      <c r="G1170" s="321"/>
      <c r="H1170" s="321"/>
      <c r="I1170" s="321"/>
      <c r="J1170" s="321"/>
      <c r="K1170" s="321"/>
      <c r="L1170" s="321"/>
      <c r="M1170" s="321"/>
      <c r="N1170" s="321"/>
      <c r="O1170" s="321"/>
      <c r="P1170" s="321"/>
      <c r="Q1170" s="321"/>
      <c r="R1170" s="321"/>
      <c r="S1170" s="321"/>
      <c r="T1170" s="321"/>
      <c r="U1170" s="321"/>
      <c r="V1170" s="321"/>
      <c r="W1170" s="321"/>
      <c r="X1170" s="321"/>
      <c r="Y1170" s="322"/>
    </row>
    <row r="1171" spans="1:25" ht="15.75" thickBot="1" x14ac:dyDescent="0.3">
      <c r="A1171" s="323"/>
      <c r="B1171" s="324"/>
      <c r="C1171" s="324"/>
      <c r="D1171" s="324"/>
      <c r="E1171" s="324"/>
      <c r="F1171" s="324"/>
      <c r="G1171" s="324"/>
      <c r="H1171" s="324"/>
      <c r="I1171" s="324"/>
      <c r="J1171" s="324"/>
      <c r="K1171" s="324"/>
      <c r="L1171" s="324"/>
      <c r="M1171" s="324"/>
      <c r="N1171" s="324"/>
      <c r="O1171" s="324"/>
      <c r="P1171" s="324"/>
      <c r="Q1171" s="324"/>
      <c r="R1171" s="324"/>
      <c r="S1171" s="324"/>
      <c r="T1171" s="324"/>
      <c r="U1171" s="324"/>
      <c r="V1171" s="324"/>
      <c r="W1171" s="324"/>
      <c r="X1171" s="324"/>
      <c r="Y1171" s="325"/>
    </row>
    <row r="1173" spans="1:25" ht="15.75" thickBot="1" x14ac:dyDescent="0.3">
      <c r="A1173" s="326" t="s">
        <v>29</v>
      </c>
      <c r="B1173" s="326"/>
      <c r="C1173" s="326"/>
      <c r="D1173" s="326"/>
    </row>
    <row r="1174" spans="1:25" x14ac:dyDescent="0.25">
      <c r="A1174" s="317" t="s">
        <v>452</v>
      </c>
      <c r="B1174" s="318"/>
      <c r="C1174" s="318"/>
      <c r="D1174" s="318"/>
      <c r="E1174" s="318"/>
      <c r="F1174" s="318"/>
      <c r="G1174" s="318"/>
      <c r="H1174" s="318"/>
      <c r="I1174" s="318"/>
      <c r="J1174" s="318"/>
      <c r="K1174" s="318"/>
      <c r="L1174" s="318"/>
      <c r="M1174" s="318"/>
      <c r="N1174" s="318"/>
      <c r="O1174" s="318"/>
      <c r="P1174" s="318"/>
      <c r="Q1174" s="318"/>
      <c r="R1174" s="318"/>
      <c r="S1174" s="318"/>
      <c r="T1174" s="318"/>
      <c r="U1174" s="318"/>
      <c r="V1174" s="318"/>
      <c r="W1174" s="318"/>
      <c r="X1174" s="318"/>
      <c r="Y1174" s="319"/>
    </row>
    <row r="1175" spans="1:25" x14ac:dyDescent="0.25">
      <c r="A1175" s="320"/>
      <c r="B1175" s="321"/>
      <c r="C1175" s="321"/>
      <c r="D1175" s="321"/>
      <c r="E1175" s="321"/>
      <c r="F1175" s="321"/>
      <c r="G1175" s="321"/>
      <c r="H1175" s="321"/>
      <c r="I1175" s="321"/>
      <c r="J1175" s="321"/>
      <c r="K1175" s="321"/>
      <c r="L1175" s="321"/>
      <c r="M1175" s="321"/>
      <c r="N1175" s="321"/>
      <c r="O1175" s="321"/>
      <c r="P1175" s="321"/>
      <c r="Q1175" s="321"/>
      <c r="R1175" s="321"/>
      <c r="S1175" s="321"/>
      <c r="T1175" s="321"/>
      <c r="U1175" s="321"/>
      <c r="V1175" s="321"/>
      <c r="W1175" s="321"/>
      <c r="X1175" s="321"/>
      <c r="Y1175" s="322"/>
    </row>
    <row r="1176" spans="1:25" x14ac:dyDescent="0.25">
      <c r="A1176" s="320"/>
      <c r="B1176" s="321"/>
      <c r="C1176" s="321"/>
      <c r="D1176" s="321"/>
      <c r="E1176" s="321"/>
      <c r="F1176" s="321"/>
      <c r="G1176" s="321"/>
      <c r="H1176" s="321"/>
      <c r="I1176" s="321"/>
      <c r="J1176" s="321"/>
      <c r="K1176" s="321"/>
      <c r="L1176" s="321"/>
      <c r="M1176" s="321"/>
      <c r="N1176" s="321"/>
      <c r="O1176" s="321"/>
      <c r="P1176" s="321"/>
      <c r="Q1176" s="321"/>
      <c r="R1176" s="321"/>
      <c r="S1176" s="321"/>
      <c r="T1176" s="321"/>
      <c r="U1176" s="321"/>
      <c r="V1176" s="321"/>
      <c r="W1176" s="321"/>
      <c r="X1176" s="321"/>
      <c r="Y1176" s="322"/>
    </row>
    <row r="1177" spans="1:25" x14ac:dyDescent="0.25">
      <c r="A1177" s="320"/>
      <c r="B1177" s="321"/>
      <c r="C1177" s="321"/>
      <c r="D1177" s="321"/>
      <c r="E1177" s="321"/>
      <c r="F1177" s="321"/>
      <c r="G1177" s="321"/>
      <c r="H1177" s="321"/>
      <c r="I1177" s="321"/>
      <c r="J1177" s="321"/>
      <c r="K1177" s="321"/>
      <c r="L1177" s="321"/>
      <c r="M1177" s="321"/>
      <c r="N1177" s="321"/>
      <c r="O1177" s="321"/>
      <c r="P1177" s="321"/>
      <c r="Q1177" s="321"/>
      <c r="R1177" s="321"/>
      <c r="S1177" s="321"/>
      <c r="T1177" s="321"/>
      <c r="U1177" s="321"/>
      <c r="V1177" s="321"/>
      <c r="W1177" s="321"/>
      <c r="X1177" s="321"/>
      <c r="Y1177" s="322"/>
    </row>
    <row r="1178" spans="1:25" x14ac:dyDescent="0.25">
      <c r="A1178" s="320"/>
      <c r="B1178" s="321"/>
      <c r="C1178" s="321"/>
      <c r="D1178" s="321"/>
      <c r="E1178" s="321"/>
      <c r="F1178" s="321"/>
      <c r="G1178" s="321"/>
      <c r="H1178" s="321"/>
      <c r="I1178" s="321"/>
      <c r="J1178" s="321"/>
      <c r="K1178" s="321"/>
      <c r="L1178" s="321"/>
      <c r="M1178" s="321"/>
      <c r="N1178" s="321"/>
      <c r="O1178" s="321"/>
      <c r="P1178" s="321"/>
      <c r="Q1178" s="321"/>
      <c r="R1178" s="321"/>
      <c r="S1178" s="321"/>
      <c r="T1178" s="321"/>
      <c r="U1178" s="321"/>
      <c r="V1178" s="321"/>
      <c r="W1178" s="321"/>
      <c r="X1178" s="321"/>
      <c r="Y1178" s="322"/>
    </row>
    <row r="1179" spans="1:25" x14ac:dyDescent="0.25">
      <c r="A1179" s="320"/>
      <c r="B1179" s="321"/>
      <c r="C1179" s="321"/>
      <c r="D1179" s="321"/>
      <c r="E1179" s="321"/>
      <c r="F1179" s="321"/>
      <c r="G1179" s="321"/>
      <c r="H1179" s="321"/>
      <c r="I1179" s="321"/>
      <c r="J1179" s="321"/>
      <c r="K1179" s="321"/>
      <c r="L1179" s="321"/>
      <c r="M1179" s="321"/>
      <c r="N1179" s="321"/>
      <c r="O1179" s="321"/>
      <c r="P1179" s="321"/>
      <c r="Q1179" s="321"/>
      <c r="R1179" s="321"/>
      <c r="S1179" s="321"/>
      <c r="T1179" s="321"/>
      <c r="U1179" s="321"/>
      <c r="V1179" s="321"/>
      <c r="W1179" s="321"/>
      <c r="X1179" s="321"/>
      <c r="Y1179" s="322"/>
    </row>
    <row r="1180" spans="1:25" ht="15.75" thickBot="1" x14ac:dyDescent="0.3">
      <c r="A1180" s="323"/>
      <c r="B1180" s="324"/>
      <c r="C1180" s="324"/>
      <c r="D1180" s="324"/>
      <c r="E1180" s="324"/>
      <c r="F1180" s="324"/>
      <c r="G1180" s="324"/>
      <c r="H1180" s="324"/>
      <c r="I1180" s="324"/>
      <c r="J1180" s="324"/>
      <c r="K1180" s="324"/>
      <c r="L1180" s="324"/>
      <c r="M1180" s="324"/>
      <c r="N1180" s="324"/>
      <c r="O1180" s="324"/>
      <c r="P1180" s="324"/>
      <c r="Q1180" s="324"/>
      <c r="R1180" s="324"/>
      <c r="S1180" s="324"/>
      <c r="T1180" s="324"/>
      <c r="U1180" s="324"/>
      <c r="V1180" s="324"/>
      <c r="W1180" s="324"/>
      <c r="X1180" s="324"/>
      <c r="Y1180" s="325"/>
    </row>
    <row r="1182" spans="1:25" ht="15.75" thickBot="1" x14ac:dyDescent="0.3">
      <c r="A1182" s="326" t="s">
        <v>27</v>
      </c>
      <c r="B1182" s="326"/>
      <c r="C1182" s="326"/>
      <c r="D1182" s="326"/>
      <c r="E1182" s="326"/>
      <c r="F1182" s="326"/>
      <c r="G1182" s="326"/>
      <c r="H1182" s="326"/>
    </row>
    <row r="1183" spans="1:25" ht="15.75" thickBot="1" x14ac:dyDescent="0.3">
      <c r="A1183" s="327" t="s">
        <v>262</v>
      </c>
      <c r="B1183" s="328"/>
      <c r="C1183" s="328"/>
      <c r="D1183" s="328"/>
      <c r="E1183" s="328"/>
      <c r="F1183" s="328"/>
      <c r="G1183" s="328"/>
      <c r="H1183" s="328"/>
      <c r="I1183" s="328"/>
      <c r="J1183" s="328"/>
      <c r="K1183" s="328"/>
      <c r="L1183" s="328"/>
      <c r="M1183" s="328"/>
      <c r="N1183" s="328"/>
      <c r="O1183" s="328"/>
      <c r="P1183" s="328"/>
      <c r="Q1183" s="328"/>
      <c r="R1183" s="328"/>
      <c r="S1183" s="328"/>
      <c r="T1183" s="328"/>
      <c r="U1183" s="328"/>
      <c r="V1183" s="328"/>
      <c r="W1183" s="328"/>
      <c r="X1183" s="328"/>
      <c r="Y1183" s="329"/>
    </row>
    <row r="1185" spans="1:25" ht="15.75" thickBot="1" x14ac:dyDescent="0.3">
      <c r="A1185" s="326" t="s">
        <v>121</v>
      </c>
      <c r="B1185" s="326"/>
      <c r="C1185" s="326"/>
      <c r="E1185" s="326" t="s">
        <v>122</v>
      </c>
      <c r="F1185" s="326"/>
      <c r="G1185" s="326"/>
    </row>
    <row r="1186" spans="1:25" ht="15.75" thickBot="1" x14ac:dyDescent="0.3">
      <c r="A1186" s="330" t="s">
        <v>64</v>
      </c>
      <c r="B1186" s="331"/>
      <c r="E1186" s="330" t="s">
        <v>66</v>
      </c>
      <c r="F1186" s="331"/>
    </row>
    <row r="1188" spans="1:25" x14ac:dyDescent="0.25">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row>
    <row r="1190" spans="1:25" ht="19.5" thickBot="1" x14ac:dyDescent="0.35">
      <c r="A1190" s="332" t="s">
        <v>462</v>
      </c>
      <c r="B1190" s="332"/>
      <c r="C1190" s="332"/>
      <c r="D1190" s="332"/>
      <c r="E1190" s="332"/>
      <c r="F1190" s="332"/>
      <c r="H1190" s="332" t="s">
        <v>463</v>
      </c>
      <c r="I1190" s="332"/>
      <c r="J1190" s="332"/>
    </row>
    <row r="1191" spans="1:25" x14ac:dyDescent="0.25">
      <c r="A1191" s="317" t="s">
        <v>464</v>
      </c>
      <c r="B1191" s="318"/>
      <c r="C1191" s="318"/>
      <c r="D1191" s="318"/>
      <c r="E1191" s="318"/>
      <c r="F1191" s="318"/>
      <c r="G1191" s="318"/>
      <c r="H1191" s="318"/>
      <c r="I1191" s="318"/>
      <c r="J1191" s="318"/>
      <c r="K1191" s="318"/>
      <c r="L1191" s="318"/>
      <c r="M1191" s="318"/>
      <c r="N1191" s="318"/>
      <c r="O1191" s="318"/>
      <c r="P1191" s="318"/>
      <c r="Q1191" s="318"/>
      <c r="R1191" s="318"/>
      <c r="S1191" s="318"/>
      <c r="T1191" s="318"/>
      <c r="U1191" s="318"/>
      <c r="V1191" s="318"/>
      <c r="W1191" s="318"/>
      <c r="X1191" s="318"/>
      <c r="Y1191" s="319"/>
    </row>
    <row r="1192" spans="1:25" x14ac:dyDescent="0.25">
      <c r="A1192" s="320"/>
      <c r="B1192" s="321"/>
      <c r="C1192" s="321"/>
      <c r="D1192" s="321"/>
      <c r="E1192" s="321"/>
      <c r="F1192" s="321"/>
      <c r="G1192" s="321"/>
      <c r="H1192" s="321"/>
      <c r="I1192" s="321"/>
      <c r="J1192" s="321"/>
      <c r="K1192" s="321"/>
      <c r="L1192" s="321"/>
      <c r="M1192" s="321"/>
      <c r="N1192" s="321"/>
      <c r="O1192" s="321"/>
      <c r="P1192" s="321"/>
      <c r="Q1192" s="321"/>
      <c r="R1192" s="321"/>
      <c r="S1192" s="321"/>
      <c r="T1192" s="321"/>
      <c r="U1192" s="321"/>
      <c r="V1192" s="321"/>
      <c r="W1192" s="321"/>
      <c r="X1192" s="321"/>
      <c r="Y1192" s="322"/>
    </row>
    <row r="1193" spans="1:25" x14ac:dyDescent="0.25">
      <c r="A1193" s="320"/>
      <c r="B1193" s="321"/>
      <c r="C1193" s="321"/>
      <c r="D1193" s="321"/>
      <c r="E1193" s="321"/>
      <c r="F1193" s="321"/>
      <c r="G1193" s="321"/>
      <c r="H1193" s="321"/>
      <c r="I1193" s="321"/>
      <c r="J1193" s="321"/>
      <c r="K1193" s="321"/>
      <c r="L1193" s="321"/>
      <c r="M1193" s="321"/>
      <c r="N1193" s="321"/>
      <c r="O1193" s="321"/>
      <c r="P1193" s="321"/>
      <c r="Q1193" s="321"/>
      <c r="R1193" s="321"/>
      <c r="S1193" s="321"/>
      <c r="T1193" s="321"/>
      <c r="U1193" s="321"/>
      <c r="V1193" s="321"/>
      <c r="W1193" s="321"/>
      <c r="X1193" s="321"/>
      <c r="Y1193" s="322"/>
    </row>
    <row r="1194" spans="1:25" x14ac:dyDescent="0.25">
      <c r="A1194" s="320"/>
      <c r="B1194" s="321"/>
      <c r="C1194" s="321"/>
      <c r="D1194" s="321"/>
      <c r="E1194" s="321"/>
      <c r="F1194" s="321"/>
      <c r="G1194" s="321"/>
      <c r="H1194" s="321"/>
      <c r="I1194" s="321"/>
      <c r="J1194" s="321"/>
      <c r="K1194" s="321"/>
      <c r="L1194" s="321"/>
      <c r="M1194" s="321"/>
      <c r="N1194" s="321"/>
      <c r="O1194" s="321"/>
      <c r="P1194" s="321"/>
      <c r="Q1194" s="321"/>
      <c r="R1194" s="321"/>
      <c r="S1194" s="321"/>
      <c r="T1194" s="321"/>
      <c r="U1194" s="321"/>
      <c r="V1194" s="321"/>
      <c r="W1194" s="321"/>
      <c r="X1194" s="321"/>
      <c r="Y1194" s="322"/>
    </row>
    <row r="1195" spans="1:25" x14ac:dyDescent="0.25">
      <c r="A1195" s="320"/>
      <c r="B1195" s="321"/>
      <c r="C1195" s="321"/>
      <c r="D1195" s="321"/>
      <c r="E1195" s="321"/>
      <c r="F1195" s="321"/>
      <c r="G1195" s="321"/>
      <c r="H1195" s="321"/>
      <c r="I1195" s="321"/>
      <c r="J1195" s="321"/>
      <c r="K1195" s="321"/>
      <c r="L1195" s="321"/>
      <c r="M1195" s="321"/>
      <c r="N1195" s="321"/>
      <c r="O1195" s="321"/>
      <c r="P1195" s="321"/>
      <c r="Q1195" s="321"/>
      <c r="R1195" s="321"/>
      <c r="S1195" s="321"/>
      <c r="T1195" s="321"/>
      <c r="U1195" s="321"/>
      <c r="V1195" s="321"/>
      <c r="W1195" s="321"/>
      <c r="X1195" s="321"/>
      <c r="Y1195" s="322"/>
    </row>
    <row r="1196" spans="1:25" x14ac:dyDescent="0.25">
      <c r="A1196" s="320"/>
      <c r="B1196" s="321"/>
      <c r="C1196" s="321"/>
      <c r="D1196" s="321"/>
      <c r="E1196" s="321"/>
      <c r="F1196" s="321"/>
      <c r="G1196" s="321"/>
      <c r="H1196" s="321"/>
      <c r="I1196" s="321"/>
      <c r="J1196" s="321"/>
      <c r="K1196" s="321"/>
      <c r="L1196" s="321"/>
      <c r="M1196" s="321"/>
      <c r="N1196" s="321"/>
      <c r="O1196" s="321"/>
      <c r="P1196" s="321"/>
      <c r="Q1196" s="321"/>
      <c r="R1196" s="321"/>
      <c r="S1196" s="321"/>
      <c r="T1196" s="321"/>
      <c r="U1196" s="321"/>
      <c r="V1196" s="321"/>
      <c r="W1196" s="321"/>
      <c r="X1196" s="321"/>
      <c r="Y1196" s="322"/>
    </row>
    <row r="1197" spans="1:25" x14ac:dyDescent="0.25">
      <c r="A1197" s="320"/>
      <c r="B1197" s="321"/>
      <c r="C1197" s="321"/>
      <c r="D1197" s="321"/>
      <c r="E1197" s="321"/>
      <c r="F1197" s="321"/>
      <c r="G1197" s="321"/>
      <c r="H1197" s="321"/>
      <c r="I1197" s="321"/>
      <c r="J1197" s="321"/>
      <c r="K1197" s="321"/>
      <c r="L1197" s="321"/>
      <c r="M1197" s="321"/>
      <c r="N1197" s="321"/>
      <c r="O1197" s="321"/>
      <c r="P1197" s="321"/>
      <c r="Q1197" s="321"/>
      <c r="R1197" s="321"/>
      <c r="S1197" s="321"/>
      <c r="T1197" s="321"/>
      <c r="U1197" s="321"/>
      <c r="V1197" s="321"/>
      <c r="W1197" s="321"/>
      <c r="X1197" s="321"/>
      <c r="Y1197" s="322"/>
    </row>
    <row r="1198" spans="1:25" x14ac:dyDescent="0.25">
      <c r="A1198" s="320"/>
      <c r="B1198" s="321"/>
      <c r="C1198" s="321"/>
      <c r="D1198" s="321"/>
      <c r="E1198" s="321"/>
      <c r="F1198" s="321"/>
      <c r="G1198" s="321"/>
      <c r="H1198" s="321"/>
      <c r="I1198" s="321"/>
      <c r="J1198" s="321"/>
      <c r="K1198" s="321"/>
      <c r="L1198" s="321"/>
      <c r="M1198" s="321"/>
      <c r="N1198" s="321"/>
      <c r="O1198" s="321"/>
      <c r="P1198" s="321"/>
      <c r="Q1198" s="321"/>
      <c r="R1198" s="321"/>
      <c r="S1198" s="321"/>
      <c r="T1198" s="321"/>
      <c r="U1198" s="321"/>
      <c r="V1198" s="321"/>
      <c r="W1198" s="321"/>
      <c r="X1198" s="321"/>
      <c r="Y1198" s="322"/>
    </row>
    <row r="1199" spans="1:25" x14ac:dyDescent="0.25">
      <c r="A1199" s="320"/>
      <c r="B1199" s="321"/>
      <c r="C1199" s="321"/>
      <c r="D1199" s="321"/>
      <c r="E1199" s="321"/>
      <c r="F1199" s="321"/>
      <c r="G1199" s="321"/>
      <c r="H1199" s="321"/>
      <c r="I1199" s="321"/>
      <c r="J1199" s="321"/>
      <c r="K1199" s="321"/>
      <c r="L1199" s="321"/>
      <c r="M1199" s="321"/>
      <c r="N1199" s="321"/>
      <c r="O1199" s="321"/>
      <c r="P1199" s="321"/>
      <c r="Q1199" s="321"/>
      <c r="R1199" s="321"/>
      <c r="S1199" s="321"/>
      <c r="T1199" s="321"/>
      <c r="U1199" s="321"/>
      <c r="V1199" s="321"/>
      <c r="W1199" s="321"/>
      <c r="X1199" s="321"/>
      <c r="Y1199" s="322"/>
    </row>
    <row r="1200" spans="1:25" x14ac:dyDescent="0.25">
      <c r="A1200" s="320"/>
      <c r="B1200" s="321"/>
      <c r="C1200" s="321"/>
      <c r="D1200" s="321"/>
      <c r="E1200" s="321"/>
      <c r="F1200" s="321"/>
      <c r="G1200" s="321"/>
      <c r="H1200" s="321"/>
      <c r="I1200" s="321"/>
      <c r="J1200" s="321"/>
      <c r="K1200" s="321"/>
      <c r="L1200" s="321"/>
      <c r="M1200" s="321"/>
      <c r="N1200" s="321"/>
      <c r="O1200" s="321"/>
      <c r="P1200" s="321"/>
      <c r="Q1200" s="321"/>
      <c r="R1200" s="321"/>
      <c r="S1200" s="321"/>
      <c r="T1200" s="321"/>
      <c r="U1200" s="321"/>
      <c r="V1200" s="321"/>
      <c r="W1200" s="321"/>
      <c r="X1200" s="321"/>
      <c r="Y1200" s="322"/>
    </row>
    <row r="1201" spans="1:25" x14ac:dyDescent="0.25">
      <c r="A1201" s="320"/>
      <c r="B1201" s="321"/>
      <c r="C1201" s="321"/>
      <c r="D1201" s="321"/>
      <c r="E1201" s="321"/>
      <c r="F1201" s="321"/>
      <c r="G1201" s="321"/>
      <c r="H1201" s="321"/>
      <c r="I1201" s="321"/>
      <c r="J1201" s="321"/>
      <c r="K1201" s="321"/>
      <c r="L1201" s="321"/>
      <c r="M1201" s="321"/>
      <c r="N1201" s="321"/>
      <c r="O1201" s="321"/>
      <c r="P1201" s="321"/>
      <c r="Q1201" s="321"/>
      <c r="R1201" s="321"/>
      <c r="S1201" s="321"/>
      <c r="T1201" s="321"/>
      <c r="U1201" s="321"/>
      <c r="V1201" s="321"/>
      <c r="W1201" s="321"/>
      <c r="X1201" s="321"/>
      <c r="Y1201" s="322"/>
    </row>
    <row r="1202" spans="1:25" x14ac:dyDescent="0.25">
      <c r="A1202" s="320"/>
      <c r="B1202" s="321"/>
      <c r="C1202" s="321"/>
      <c r="D1202" s="321"/>
      <c r="E1202" s="321"/>
      <c r="F1202" s="321"/>
      <c r="G1202" s="321"/>
      <c r="H1202" s="321"/>
      <c r="I1202" s="321"/>
      <c r="J1202" s="321"/>
      <c r="K1202" s="321"/>
      <c r="L1202" s="321"/>
      <c r="M1202" s="321"/>
      <c r="N1202" s="321"/>
      <c r="O1202" s="321"/>
      <c r="P1202" s="321"/>
      <c r="Q1202" s="321"/>
      <c r="R1202" s="321"/>
      <c r="S1202" s="321"/>
      <c r="T1202" s="321"/>
      <c r="U1202" s="321"/>
      <c r="V1202" s="321"/>
      <c r="W1202" s="321"/>
      <c r="X1202" s="321"/>
      <c r="Y1202" s="322"/>
    </row>
    <row r="1203" spans="1:25" x14ac:dyDescent="0.25">
      <c r="A1203" s="320"/>
      <c r="B1203" s="321"/>
      <c r="C1203" s="321"/>
      <c r="D1203" s="321"/>
      <c r="E1203" s="321"/>
      <c r="F1203" s="321"/>
      <c r="G1203" s="321"/>
      <c r="H1203" s="321"/>
      <c r="I1203" s="321"/>
      <c r="J1203" s="321"/>
      <c r="K1203" s="321"/>
      <c r="L1203" s="321"/>
      <c r="M1203" s="321"/>
      <c r="N1203" s="321"/>
      <c r="O1203" s="321"/>
      <c r="P1203" s="321"/>
      <c r="Q1203" s="321"/>
      <c r="R1203" s="321"/>
      <c r="S1203" s="321"/>
      <c r="T1203" s="321"/>
      <c r="U1203" s="321"/>
      <c r="V1203" s="321"/>
      <c r="W1203" s="321"/>
      <c r="X1203" s="321"/>
      <c r="Y1203" s="322"/>
    </row>
    <row r="1204" spans="1:25" ht="15.75" thickBot="1" x14ac:dyDescent="0.3">
      <c r="A1204" s="323"/>
      <c r="B1204" s="324"/>
      <c r="C1204" s="324"/>
      <c r="D1204" s="324"/>
      <c r="E1204" s="324"/>
      <c r="F1204" s="324"/>
      <c r="G1204" s="324"/>
      <c r="H1204" s="324"/>
      <c r="I1204" s="324"/>
      <c r="J1204" s="324"/>
      <c r="K1204" s="324"/>
      <c r="L1204" s="324"/>
      <c r="M1204" s="324"/>
      <c r="N1204" s="324"/>
      <c r="O1204" s="324"/>
      <c r="P1204" s="324"/>
      <c r="Q1204" s="324"/>
      <c r="R1204" s="324"/>
      <c r="S1204" s="324"/>
      <c r="T1204" s="324"/>
      <c r="U1204" s="324"/>
      <c r="V1204" s="324"/>
      <c r="W1204" s="324"/>
      <c r="X1204" s="324"/>
      <c r="Y1204" s="325"/>
    </row>
    <row r="1206" spans="1:25" ht="15.75" thickBot="1" x14ac:dyDescent="0.3">
      <c r="A1206" s="326" t="s">
        <v>29</v>
      </c>
      <c r="B1206" s="326"/>
      <c r="C1206" s="326"/>
      <c r="D1206" s="326"/>
    </row>
    <row r="1207" spans="1:25" x14ac:dyDescent="0.25">
      <c r="A1207" s="317" t="s">
        <v>465</v>
      </c>
      <c r="B1207" s="318"/>
      <c r="C1207" s="318"/>
      <c r="D1207" s="318"/>
      <c r="E1207" s="318"/>
      <c r="F1207" s="318"/>
      <c r="G1207" s="318"/>
      <c r="H1207" s="318"/>
      <c r="I1207" s="318"/>
      <c r="J1207" s="318"/>
      <c r="K1207" s="318"/>
      <c r="L1207" s="318"/>
      <c r="M1207" s="318"/>
      <c r="N1207" s="318"/>
      <c r="O1207" s="318"/>
      <c r="P1207" s="318"/>
      <c r="Q1207" s="318"/>
      <c r="R1207" s="318"/>
      <c r="S1207" s="318"/>
      <c r="T1207" s="318"/>
      <c r="U1207" s="318"/>
      <c r="V1207" s="318"/>
      <c r="W1207" s="318"/>
      <c r="X1207" s="318"/>
      <c r="Y1207" s="319"/>
    </row>
    <row r="1208" spans="1:25" x14ac:dyDescent="0.25">
      <c r="A1208" s="320"/>
      <c r="B1208" s="321"/>
      <c r="C1208" s="321"/>
      <c r="D1208" s="321"/>
      <c r="E1208" s="321"/>
      <c r="F1208" s="321"/>
      <c r="G1208" s="321"/>
      <c r="H1208" s="321"/>
      <c r="I1208" s="321"/>
      <c r="J1208" s="321"/>
      <c r="K1208" s="321"/>
      <c r="L1208" s="321"/>
      <c r="M1208" s="321"/>
      <c r="N1208" s="321"/>
      <c r="O1208" s="321"/>
      <c r="P1208" s="321"/>
      <c r="Q1208" s="321"/>
      <c r="R1208" s="321"/>
      <c r="S1208" s="321"/>
      <c r="T1208" s="321"/>
      <c r="U1208" s="321"/>
      <c r="V1208" s="321"/>
      <c r="W1208" s="321"/>
      <c r="X1208" s="321"/>
      <c r="Y1208" s="322"/>
    </row>
    <row r="1209" spans="1:25" x14ac:dyDescent="0.25">
      <c r="A1209" s="320"/>
      <c r="B1209" s="321"/>
      <c r="C1209" s="321"/>
      <c r="D1209" s="321"/>
      <c r="E1209" s="321"/>
      <c r="F1209" s="321"/>
      <c r="G1209" s="321"/>
      <c r="H1209" s="321"/>
      <c r="I1209" s="321"/>
      <c r="J1209" s="321"/>
      <c r="K1209" s="321"/>
      <c r="L1209" s="321"/>
      <c r="M1209" s="321"/>
      <c r="N1209" s="321"/>
      <c r="O1209" s="321"/>
      <c r="P1209" s="321"/>
      <c r="Q1209" s="321"/>
      <c r="R1209" s="321"/>
      <c r="S1209" s="321"/>
      <c r="T1209" s="321"/>
      <c r="U1209" s="321"/>
      <c r="V1209" s="321"/>
      <c r="W1209" s="321"/>
      <c r="X1209" s="321"/>
      <c r="Y1209" s="322"/>
    </row>
    <row r="1210" spans="1:25" x14ac:dyDescent="0.25">
      <c r="A1210" s="320"/>
      <c r="B1210" s="321"/>
      <c r="C1210" s="321"/>
      <c r="D1210" s="321"/>
      <c r="E1210" s="321"/>
      <c r="F1210" s="321"/>
      <c r="G1210" s="321"/>
      <c r="H1210" s="321"/>
      <c r="I1210" s="321"/>
      <c r="J1210" s="321"/>
      <c r="K1210" s="321"/>
      <c r="L1210" s="321"/>
      <c r="M1210" s="321"/>
      <c r="N1210" s="321"/>
      <c r="O1210" s="321"/>
      <c r="P1210" s="321"/>
      <c r="Q1210" s="321"/>
      <c r="R1210" s="321"/>
      <c r="S1210" s="321"/>
      <c r="T1210" s="321"/>
      <c r="U1210" s="321"/>
      <c r="V1210" s="321"/>
      <c r="W1210" s="321"/>
      <c r="X1210" s="321"/>
      <c r="Y1210" s="322"/>
    </row>
    <row r="1211" spans="1:25" x14ac:dyDescent="0.25">
      <c r="A1211" s="320"/>
      <c r="B1211" s="321"/>
      <c r="C1211" s="321"/>
      <c r="D1211" s="321"/>
      <c r="E1211" s="321"/>
      <c r="F1211" s="321"/>
      <c r="G1211" s="321"/>
      <c r="H1211" s="321"/>
      <c r="I1211" s="321"/>
      <c r="J1211" s="321"/>
      <c r="K1211" s="321"/>
      <c r="L1211" s="321"/>
      <c r="M1211" s="321"/>
      <c r="N1211" s="321"/>
      <c r="O1211" s="321"/>
      <c r="P1211" s="321"/>
      <c r="Q1211" s="321"/>
      <c r="R1211" s="321"/>
      <c r="S1211" s="321"/>
      <c r="T1211" s="321"/>
      <c r="U1211" s="321"/>
      <c r="V1211" s="321"/>
      <c r="W1211" s="321"/>
      <c r="X1211" s="321"/>
      <c r="Y1211" s="322"/>
    </row>
    <row r="1212" spans="1:25" x14ac:dyDescent="0.25">
      <c r="A1212" s="320"/>
      <c r="B1212" s="321"/>
      <c r="C1212" s="321"/>
      <c r="D1212" s="321"/>
      <c r="E1212" s="321"/>
      <c r="F1212" s="321"/>
      <c r="G1212" s="321"/>
      <c r="H1212" s="321"/>
      <c r="I1212" s="321"/>
      <c r="J1212" s="321"/>
      <c r="K1212" s="321"/>
      <c r="L1212" s="321"/>
      <c r="M1212" s="321"/>
      <c r="N1212" s="321"/>
      <c r="O1212" s="321"/>
      <c r="P1212" s="321"/>
      <c r="Q1212" s="321"/>
      <c r="R1212" s="321"/>
      <c r="S1212" s="321"/>
      <c r="T1212" s="321"/>
      <c r="U1212" s="321"/>
      <c r="V1212" s="321"/>
      <c r="W1212" s="321"/>
      <c r="X1212" s="321"/>
      <c r="Y1212" s="322"/>
    </row>
    <row r="1213" spans="1:25" ht="15.75" thickBot="1" x14ac:dyDescent="0.3">
      <c r="A1213" s="323"/>
      <c r="B1213" s="324"/>
      <c r="C1213" s="324"/>
      <c r="D1213" s="324"/>
      <c r="E1213" s="324"/>
      <c r="F1213" s="324"/>
      <c r="G1213" s="324"/>
      <c r="H1213" s="324"/>
      <c r="I1213" s="324"/>
      <c r="J1213" s="324"/>
      <c r="K1213" s="324"/>
      <c r="L1213" s="324"/>
      <c r="M1213" s="324"/>
      <c r="N1213" s="324"/>
      <c r="O1213" s="324"/>
      <c r="P1213" s="324"/>
      <c r="Q1213" s="324"/>
      <c r="R1213" s="324"/>
      <c r="S1213" s="324"/>
      <c r="T1213" s="324"/>
      <c r="U1213" s="324"/>
      <c r="V1213" s="324"/>
      <c r="W1213" s="324"/>
      <c r="X1213" s="324"/>
      <c r="Y1213" s="325"/>
    </row>
    <row r="1215" spans="1:25" ht="15.75" thickBot="1" x14ac:dyDescent="0.3">
      <c r="A1215" s="326" t="s">
        <v>27</v>
      </c>
      <c r="B1215" s="326"/>
      <c r="C1215" s="326"/>
      <c r="D1215" s="326"/>
      <c r="E1215" s="326"/>
      <c r="F1215" s="326"/>
      <c r="G1215" s="326"/>
      <c r="H1215" s="326"/>
    </row>
    <row r="1216" spans="1:25" ht="15.75" thickBot="1" x14ac:dyDescent="0.3">
      <c r="A1216" s="327" t="s">
        <v>262</v>
      </c>
      <c r="B1216" s="328"/>
      <c r="C1216" s="328"/>
      <c r="D1216" s="328"/>
      <c r="E1216" s="328"/>
      <c r="F1216" s="328"/>
      <c r="G1216" s="328"/>
      <c r="H1216" s="328"/>
      <c r="I1216" s="328"/>
      <c r="J1216" s="328"/>
      <c r="K1216" s="328"/>
      <c r="L1216" s="328"/>
      <c r="M1216" s="328"/>
      <c r="N1216" s="328"/>
      <c r="O1216" s="328"/>
      <c r="P1216" s="328"/>
      <c r="Q1216" s="328"/>
      <c r="R1216" s="328"/>
      <c r="S1216" s="328"/>
      <c r="T1216" s="328"/>
      <c r="U1216" s="328"/>
      <c r="V1216" s="328"/>
      <c r="W1216" s="328"/>
      <c r="X1216" s="328"/>
      <c r="Y1216" s="329"/>
    </row>
    <row r="1218" spans="1:25" ht="15.75" thickBot="1" x14ac:dyDescent="0.3">
      <c r="A1218" s="326" t="s">
        <v>121</v>
      </c>
      <c r="B1218" s="326"/>
      <c r="C1218" s="326"/>
      <c r="E1218" s="326" t="s">
        <v>122</v>
      </c>
      <c r="F1218" s="326"/>
      <c r="G1218" s="326"/>
    </row>
    <row r="1219" spans="1:25" ht="15.75" thickBot="1" x14ac:dyDescent="0.3">
      <c r="A1219" s="330" t="s">
        <v>64</v>
      </c>
      <c r="B1219" s="331"/>
      <c r="E1219" s="330" t="s">
        <v>66</v>
      </c>
      <c r="F1219" s="331"/>
    </row>
    <row r="1221" spans="1:25" ht="19.5" thickBot="1" x14ac:dyDescent="0.35">
      <c r="A1221" s="332" t="s">
        <v>475</v>
      </c>
      <c r="B1221" s="332"/>
      <c r="C1221" s="332"/>
      <c r="D1221" s="332"/>
      <c r="E1221" s="332"/>
      <c r="F1221" s="332"/>
      <c r="H1221" s="332" t="s">
        <v>476</v>
      </c>
      <c r="I1221" s="332"/>
      <c r="J1221" s="332"/>
    </row>
    <row r="1222" spans="1:25" x14ac:dyDescent="0.25">
      <c r="A1222" s="317" t="s">
        <v>478</v>
      </c>
      <c r="B1222" s="318"/>
      <c r="C1222" s="318"/>
      <c r="D1222" s="318"/>
      <c r="E1222" s="318"/>
      <c r="F1222" s="318"/>
      <c r="G1222" s="318"/>
      <c r="H1222" s="318"/>
      <c r="I1222" s="318"/>
      <c r="J1222" s="318"/>
      <c r="K1222" s="318"/>
      <c r="L1222" s="318"/>
      <c r="M1222" s="318"/>
      <c r="N1222" s="318"/>
      <c r="O1222" s="318"/>
      <c r="P1222" s="318"/>
      <c r="Q1222" s="318"/>
      <c r="R1222" s="318"/>
      <c r="S1222" s="318"/>
      <c r="T1222" s="318"/>
      <c r="U1222" s="318"/>
      <c r="V1222" s="318"/>
      <c r="W1222" s="318"/>
      <c r="X1222" s="318"/>
      <c r="Y1222" s="319"/>
    </row>
    <row r="1223" spans="1:25" x14ac:dyDescent="0.25">
      <c r="A1223" s="320"/>
      <c r="B1223" s="321"/>
      <c r="C1223" s="321"/>
      <c r="D1223" s="321"/>
      <c r="E1223" s="321"/>
      <c r="F1223" s="321"/>
      <c r="G1223" s="321"/>
      <c r="H1223" s="321"/>
      <c r="I1223" s="321"/>
      <c r="J1223" s="321"/>
      <c r="K1223" s="321"/>
      <c r="L1223" s="321"/>
      <c r="M1223" s="321"/>
      <c r="N1223" s="321"/>
      <c r="O1223" s="321"/>
      <c r="P1223" s="321"/>
      <c r="Q1223" s="321"/>
      <c r="R1223" s="321"/>
      <c r="S1223" s="321"/>
      <c r="T1223" s="321"/>
      <c r="U1223" s="321"/>
      <c r="V1223" s="321"/>
      <c r="W1223" s="321"/>
      <c r="X1223" s="321"/>
      <c r="Y1223" s="322"/>
    </row>
    <row r="1224" spans="1:25" x14ac:dyDescent="0.25">
      <c r="A1224" s="320"/>
      <c r="B1224" s="321"/>
      <c r="C1224" s="321"/>
      <c r="D1224" s="321"/>
      <c r="E1224" s="321"/>
      <c r="F1224" s="321"/>
      <c r="G1224" s="321"/>
      <c r="H1224" s="321"/>
      <c r="I1224" s="321"/>
      <c r="J1224" s="321"/>
      <c r="K1224" s="321"/>
      <c r="L1224" s="321"/>
      <c r="M1224" s="321"/>
      <c r="N1224" s="321"/>
      <c r="O1224" s="321"/>
      <c r="P1224" s="321"/>
      <c r="Q1224" s="321"/>
      <c r="R1224" s="321"/>
      <c r="S1224" s="321"/>
      <c r="T1224" s="321"/>
      <c r="U1224" s="321"/>
      <c r="V1224" s="321"/>
      <c r="W1224" s="321"/>
      <c r="X1224" s="321"/>
      <c r="Y1224" s="322"/>
    </row>
    <row r="1225" spans="1:25" x14ac:dyDescent="0.25">
      <c r="A1225" s="320"/>
      <c r="B1225" s="321"/>
      <c r="C1225" s="321"/>
      <c r="D1225" s="321"/>
      <c r="E1225" s="321"/>
      <c r="F1225" s="321"/>
      <c r="G1225" s="321"/>
      <c r="H1225" s="321"/>
      <c r="I1225" s="321"/>
      <c r="J1225" s="321"/>
      <c r="K1225" s="321"/>
      <c r="L1225" s="321"/>
      <c r="M1225" s="321"/>
      <c r="N1225" s="321"/>
      <c r="O1225" s="321"/>
      <c r="P1225" s="321"/>
      <c r="Q1225" s="321"/>
      <c r="R1225" s="321"/>
      <c r="S1225" s="321"/>
      <c r="T1225" s="321"/>
      <c r="U1225" s="321"/>
      <c r="V1225" s="321"/>
      <c r="W1225" s="321"/>
      <c r="X1225" s="321"/>
      <c r="Y1225" s="322"/>
    </row>
    <row r="1226" spans="1:25" x14ac:dyDescent="0.25">
      <c r="A1226" s="320"/>
      <c r="B1226" s="321"/>
      <c r="C1226" s="321"/>
      <c r="D1226" s="321"/>
      <c r="E1226" s="321"/>
      <c r="F1226" s="321"/>
      <c r="G1226" s="321"/>
      <c r="H1226" s="321"/>
      <c r="I1226" s="321"/>
      <c r="J1226" s="321"/>
      <c r="K1226" s="321"/>
      <c r="L1226" s="321"/>
      <c r="M1226" s="321"/>
      <c r="N1226" s="321"/>
      <c r="O1226" s="321"/>
      <c r="P1226" s="321"/>
      <c r="Q1226" s="321"/>
      <c r="R1226" s="321"/>
      <c r="S1226" s="321"/>
      <c r="T1226" s="321"/>
      <c r="U1226" s="321"/>
      <c r="V1226" s="321"/>
      <c r="W1226" s="321"/>
      <c r="X1226" s="321"/>
      <c r="Y1226" s="322"/>
    </row>
    <row r="1227" spans="1:25" x14ac:dyDescent="0.25">
      <c r="A1227" s="320"/>
      <c r="B1227" s="321"/>
      <c r="C1227" s="321"/>
      <c r="D1227" s="321"/>
      <c r="E1227" s="321"/>
      <c r="F1227" s="321"/>
      <c r="G1227" s="321"/>
      <c r="H1227" s="321"/>
      <c r="I1227" s="321"/>
      <c r="J1227" s="321"/>
      <c r="K1227" s="321"/>
      <c r="L1227" s="321"/>
      <c r="M1227" s="321"/>
      <c r="N1227" s="321"/>
      <c r="O1227" s="321"/>
      <c r="P1227" s="321"/>
      <c r="Q1227" s="321"/>
      <c r="R1227" s="321"/>
      <c r="S1227" s="321"/>
      <c r="T1227" s="321"/>
      <c r="U1227" s="321"/>
      <c r="V1227" s="321"/>
      <c r="W1227" s="321"/>
      <c r="X1227" s="321"/>
      <c r="Y1227" s="322"/>
    </row>
    <row r="1228" spans="1:25" x14ac:dyDescent="0.25">
      <c r="A1228" s="320"/>
      <c r="B1228" s="321"/>
      <c r="C1228" s="321"/>
      <c r="D1228" s="321"/>
      <c r="E1228" s="321"/>
      <c r="F1228" s="321"/>
      <c r="G1228" s="321"/>
      <c r="H1228" s="321"/>
      <c r="I1228" s="321"/>
      <c r="J1228" s="321"/>
      <c r="K1228" s="321"/>
      <c r="L1228" s="321"/>
      <c r="M1228" s="321"/>
      <c r="N1228" s="321"/>
      <c r="O1228" s="321"/>
      <c r="P1228" s="321"/>
      <c r="Q1228" s="321"/>
      <c r="R1228" s="321"/>
      <c r="S1228" s="321"/>
      <c r="T1228" s="321"/>
      <c r="U1228" s="321"/>
      <c r="V1228" s="321"/>
      <c r="W1228" s="321"/>
      <c r="X1228" s="321"/>
      <c r="Y1228" s="322"/>
    </row>
    <row r="1229" spans="1:25" x14ac:dyDescent="0.25">
      <c r="A1229" s="320"/>
      <c r="B1229" s="321"/>
      <c r="C1229" s="321"/>
      <c r="D1229" s="321"/>
      <c r="E1229" s="321"/>
      <c r="F1229" s="321"/>
      <c r="G1229" s="321"/>
      <c r="H1229" s="321"/>
      <c r="I1229" s="321"/>
      <c r="J1229" s="321"/>
      <c r="K1229" s="321"/>
      <c r="L1229" s="321"/>
      <c r="M1229" s="321"/>
      <c r="N1229" s="321"/>
      <c r="O1229" s="321"/>
      <c r="P1229" s="321"/>
      <c r="Q1229" s="321"/>
      <c r="R1229" s="321"/>
      <c r="S1229" s="321"/>
      <c r="T1229" s="321"/>
      <c r="U1229" s="321"/>
      <c r="V1229" s="321"/>
      <c r="W1229" s="321"/>
      <c r="X1229" s="321"/>
      <c r="Y1229" s="322"/>
    </row>
    <row r="1230" spans="1:25" x14ac:dyDescent="0.25">
      <c r="A1230" s="320"/>
      <c r="B1230" s="321"/>
      <c r="C1230" s="321"/>
      <c r="D1230" s="321"/>
      <c r="E1230" s="321"/>
      <c r="F1230" s="321"/>
      <c r="G1230" s="321"/>
      <c r="H1230" s="321"/>
      <c r="I1230" s="321"/>
      <c r="J1230" s="321"/>
      <c r="K1230" s="321"/>
      <c r="L1230" s="321"/>
      <c r="M1230" s="321"/>
      <c r="N1230" s="321"/>
      <c r="O1230" s="321"/>
      <c r="P1230" s="321"/>
      <c r="Q1230" s="321"/>
      <c r="R1230" s="321"/>
      <c r="S1230" s="321"/>
      <c r="T1230" s="321"/>
      <c r="U1230" s="321"/>
      <c r="V1230" s="321"/>
      <c r="W1230" s="321"/>
      <c r="X1230" s="321"/>
      <c r="Y1230" s="322"/>
    </row>
    <row r="1231" spans="1:25" x14ac:dyDescent="0.25">
      <c r="A1231" s="320"/>
      <c r="B1231" s="321"/>
      <c r="C1231" s="321"/>
      <c r="D1231" s="321"/>
      <c r="E1231" s="321"/>
      <c r="F1231" s="321"/>
      <c r="G1231" s="321"/>
      <c r="H1231" s="321"/>
      <c r="I1231" s="321"/>
      <c r="J1231" s="321"/>
      <c r="K1231" s="321"/>
      <c r="L1231" s="321"/>
      <c r="M1231" s="321"/>
      <c r="N1231" s="321"/>
      <c r="O1231" s="321"/>
      <c r="P1231" s="321"/>
      <c r="Q1231" s="321"/>
      <c r="R1231" s="321"/>
      <c r="S1231" s="321"/>
      <c r="T1231" s="321"/>
      <c r="U1231" s="321"/>
      <c r="V1231" s="321"/>
      <c r="W1231" s="321"/>
      <c r="X1231" s="321"/>
      <c r="Y1231" s="322"/>
    </row>
    <row r="1232" spans="1:25" x14ac:dyDescent="0.25">
      <c r="A1232" s="320"/>
      <c r="B1232" s="321"/>
      <c r="C1232" s="321"/>
      <c r="D1232" s="321"/>
      <c r="E1232" s="321"/>
      <c r="F1232" s="321"/>
      <c r="G1232" s="321"/>
      <c r="H1232" s="321"/>
      <c r="I1232" s="321"/>
      <c r="J1232" s="321"/>
      <c r="K1232" s="321"/>
      <c r="L1232" s="321"/>
      <c r="M1232" s="321"/>
      <c r="N1232" s="321"/>
      <c r="O1232" s="321"/>
      <c r="P1232" s="321"/>
      <c r="Q1232" s="321"/>
      <c r="R1232" s="321"/>
      <c r="S1232" s="321"/>
      <c r="T1232" s="321"/>
      <c r="U1232" s="321"/>
      <c r="V1232" s="321"/>
      <c r="W1232" s="321"/>
      <c r="X1232" s="321"/>
      <c r="Y1232" s="322"/>
    </row>
    <row r="1233" spans="1:25" x14ac:dyDescent="0.25">
      <c r="A1233" s="320"/>
      <c r="B1233" s="321"/>
      <c r="C1233" s="321"/>
      <c r="D1233" s="321"/>
      <c r="E1233" s="321"/>
      <c r="F1233" s="321"/>
      <c r="G1233" s="321"/>
      <c r="H1233" s="321"/>
      <c r="I1233" s="321"/>
      <c r="J1233" s="321"/>
      <c r="K1233" s="321"/>
      <c r="L1233" s="321"/>
      <c r="M1233" s="321"/>
      <c r="N1233" s="321"/>
      <c r="O1233" s="321"/>
      <c r="P1233" s="321"/>
      <c r="Q1233" s="321"/>
      <c r="R1233" s="321"/>
      <c r="S1233" s="321"/>
      <c r="T1233" s="321"/>
      <c r="U1233" s="321"/>
      <c r="V1233" s="321"/>
      <c r="W1233" s="321"/>
      <c r="X1233" s="321"/>
      <c r="Y1233" s="322"/>
    </row>
    <row r="1234" spans="1:25" x14ac:dyDescent="0.25">
      <c r="A1234" s="320"/>
      <c r="B1234" s="321"/>
      <c r="C1234" s="321"/>
      <c r="D1234" s="321"/>
      <c r="E1234" s="321"/>
      <c r="F1234" s="321"/>
      <c r="G1234" s="321"/>
      <c r="H1234" s="321"/>
      <c r="I1234" s="321"/>
      <c r="J1234" s="321"/>
      <c r="K1234" s="321"/>
      <c r="L1234" s="321"/>
      <c r="M1234" s="321"/>
      <c r="N1234" s="321"/>
      <c r="O1234" s="321"/>
      <c r="P1234" s="321"/>
      <c r="Q1234" s="321"/>
      <c r="R1234" s="321"/>
      <c r="S1234" s="321"/>
      <c r="T1234" s="321"/>
      <c r="U1234" s="321"/>
      <c r="V1234" s="321"/>
      <c r="W1234" s="321"/>
      <c r="X1234" s="321"/>
      <c r="Y1234" s="322"/>
    </row>
    <row r="1235" spans="1:25" ht="15.75" thickBot="1" x14ac:dyDescent="0.3">
      <c r="A1235" s="323"/>
      <c r="B1235" s="324"/>
      <c r="C1235" s="324"/>
      <c r="D1235" s="324"/>
      <c r="E1235" s="324"/>
      <c r="F1235" s="324"/>
      <c r="G1235" s="324"/>
      <c r="H1235" s="324"/>
      <c r="I1235" s="324"/>
      <c r="J1235" s="324"/>
      <c r="K1235" s="324"/>
      <c r="L1235" s="324"/>
      <c r="M1235" s="324"/>
      <c r="N1235" s="324"/>
      <c r="O1235" s="324"/>
      <c r="P1235" s="324"/>
      <c r="Q1235" s="324"/>
      <c r="R1235" s="324"/>
      <c r="S1235" s="324"/>
      <c r="T1235" s="324"/>
      <c r="U1235" s="324"/>
      <c r="V1235" s="324"/>
      <c r="W1235" s="324"/>
      <c r="X1235" s="324"/>
      <c r="Y1235" s="325"/>
    </row>
    <row r="1237" spans="1:25" ht="15.75" thickBot="1" x14ac:dyDescent="0.3">
      <c r="A1237" s="326" t="s">
        <v>29</v>
      </c>
      <c r="B1237" s="326"/>
      <c r="C1237" s="326"/>
      <c r="D1237" s="326"/>
    </row>
    <row r="1238" spans="1:25" x14ac:dyDescent="0.25">
      <c r="A1238" s="317" t="s">
        <v>477</v>
      </c>
      <c r="B1238" s="318"/>
      <c r="C1238" s="318"/>
      <c r="D1238" s="318"/>
      <c r="E1238" s="318"/>
      <c r="F1238" s="318"/>
      <c r="G1238" s="318"/>
      <c r="H1238" s="318"/>
      <c r="I1238" s="318"/>
      <c r="J1238" s="318"/>
      <c r="K1238" s="318"/>
      <c r="L1238" s="318"/>
      <c r="M1238" s="318"/>
      <c r="N1238" s="318"/>
      <c r="O1238" s="318"/>
      <c r="P1238" s="318"/>
      <c r="Q1238" s="318"/>
      <c r="R1238" s="318"/>
      <c r="S1238" s="318"/>
      <c r="T1238" s="318"/>
      <c r="U1238" s="318"/>
      <c r="V1238" s="318"/>
      <c r="W1238" s="318"/>
      <c r="X1238" s="318"/>
      <c r="Y1238" s="319"/>
    </row>
    <row r="1239" spans="1:25" x14ac:dyDescent="0.25">
      <c r="A1239" s="320"/>
      <c r="B1239" s="321"/>
      <c r="C1239" s="321"/>
      <c r="D1239" s="321"/>
      <c r="E1239" s="321"/>
      <c r="F1239" s="321"/>
      <c r="G1239" s="321"/>
      <c r="H1239" s="321"/>
      <c r="I1239" s="321"/>
      <c r="J1239" s="321"/>
      <c r="K1239" s="321"/>
      <c r="L1239" s="321"/>
      <c r="M1239" s="321"/>
      <c r="N1239" s="321"/>
      <c r="O1239" s="321"/>
      <c r="P1239" s="321"/>
      <c r="Q1239" s="321"/>
      <c r="R1239" s="321"/>
      <c r="S1239" s="321"/>
      <c r="T1239" s="321"/>
      <c r="U1239" s="321"/>
      <c r="V1239" s="321"/>
      <c r="W1239" s="321"/>
      <c r="X1239" s="321"/>
      <c r="Y1239" s="322"/>
    </row>
    <row r="1240" spans="1:25" x14ac:dyDescent="0.25">
      <c r="A1240" s="320"/>
      <c r="B1240" s="321"/>
      <c r="C1240" s="321"/>
      <c r="D1240" s="321"/>
      <c r="E1240" s="321"/>
      <c r="F1240" s="321"/>
      <c r="G1240" s="321"/>
      <c r="H1240" s="321"/>
      <c r="I1240" s="321"/>
      <c r="J1240" s="321"/>
      <c r="K1240" s="321"/>
      <c r="L1240" s="321"/>
      <c r="M1240" s="321"/>
      <c r="N1240" s="321"/>
      <c r="O1240" s="321"/>
      <c r="P1240" s="321"/>
      <c r="Q1240" s="321"/>
      <c r="R1240" s="321"/>
      <c r="S1240" s="321"/>
      <c r="T1240" s="321"/>
      <c r="U1240" s="321"/>
      <c r="V1240" s="321"/>
      <c r="W1240" s="321"/>
      <c r="X1240" s="321"/>
      <c r="Y1240" s="322"/>
    </row>
    <row r="1241" spans="1:25" x14ac:dyDescent="0.25">
      <c r="A1241" s="320"/>
      <c r="B1241" s="321"/>
      <c r="C1241" s="321"/>
      <c r="D1241" s="321"/>
      <c r="E1241" s="321"/>
      <c r="F1241" s="321"/>
      <c r="G1241" s="321"/>
      <c r="H1241" s="321"/>
      <c r="I1241" s="321"/>
      <c r="J1241" s="321"/>
      <c r="K1241" s="321"/>
      <c r="L1241" s="321"/>
      <c r="M1241" s="321"/>
      <c r="N1241" s="321"/>
      <c r="O1241" s="321"/>
      <c r="P1241" s="321"/>
      <c r="Q1241" s="321"/>
      <c r="R1241" s="321"/>
      <c r="S1241" s="321"/>
      <c r="T1241" s="321"/>
      <c r="U1241" s="321"/>
      <c r="V1241" s="321"/>
      <c r="W1241" s="321"/>
      <c r="X1241" s="321"/>
      <c r="Y1241" s="322"/>
    </row>
    <row r="1242" spans="1:25" x14ac:dyDescent="0.25">
      <c r="A1242" s="320"/>
      <c r="B1242" s="321"/>
      <c r="C1242" s="321"/>
      <c r="D1242" s="321"/>
      <c r="E1242" s="321"/>
      <c r="F1242" s="321"/>
      <c r="G1242" s="321"/>
      <c r="H1242" s="321"/>
      <c r="I1242" s="321"/>
      <c r="J1242" s="321"/>
      <c r="K1242" s="321"/>
      <c r="L1242" s="321"/>
      <c r="M1242" s="321"/>
      <c r="N1242" s="321"/>
      <c r="O1242" s="321"/>
      <c r="P1242" s="321"/>
      <c r="Q1242" s="321"/>
      <c r="R1242" s="321"/>
      <c r="S1242" s="321"/>
      <c r="T1242" s="321"/>
      <c r="U1242" s="321"/>
      <c r="V1242" s="321"/>
      <c r="W1242" s="321"/>
      <c r="X1242" s="321"/>
      <c r="Y1242" s="322"/>
    </row>
    <row r="1243" spans="1:25" x14ac:dyDescent="0.25">
      <c r="A1243" s="320"/>
      <c r="B1243" s="321"/>
      <c r="C1243" s="321"/>
      <c r="D1243" s="321"/>
      <c r="E1243" s="321"/>
      <c r="F1243" s="321"/>
      <c r="G1243" s="321"/>
      <c r="H1243" s="321"/>
      <c r="I1243" s="321"/>
      <c r="J1243" s="321"/>
      <c r="K1243" s="321"/>
      <c r="L1243" s="321"/>
      <c r="M1243" s="321"/>
      <c r="N1243" s="321"/>
      <c r="O1243" s="321"/>
      <c r="P1243" s="321"/>
      <c r="Q1243" s="321"/>
      <c r="R1243" s="321"/>
      <c r="S1243" s="321"/>
      <c r="T1243" s="321"/>
      <c r="U1243" s="321"/>
      <c r="V1243" s="321"/>
      <c r="W1243" s="321"/>
      <c r="X1243" s="321"/>
      <c r="Y1243" s="322"/>
    </row>
    <row r="1244" spans="1:25" ht="15.75" thickBot="1" x14ac:dyDescent="0.3">
      <c r="A1244" s="323"/>
      <c r="B1244" s="324"/>
      <c r="C1244" s="324"/>
      <c r="D1244" s="324"/>
      <c r="E1244" s="324"/>
      <c r="F1244" s="324"/>
      <c r="G1244" s="324"/>
      <c r="H1244" s="324"/>
      <c r="I1244" s="324"/>
      <c r="J1244" s="324"/>
      <c r="K1244" s="324"/>
      <c r="L1244" s="324"/>
      <c r="M1244" s="324"/>
      <c r="N1244" s="324"/>
      <c r="O1244" s="324"/>
      <c r="P1244" s="324"/>
      <c r="Q1244" s="324"/>
      <c r="R1244" s="324"/>
      <c r="S1244" s="324"/>
      <c r="T1244" s="324"/>
      <c r="U1244" s="324"/>
      <c r="V1244" s="324"/>
      <c r="W1244" s="324"/>
      <c r="X1244" s="324"/>
      <c r="Y1244" s="325"/>
    </row>
    <row r="1246" spans="1:25" ht="15.75" thickBot="1" x14ac:dyDescent="0.3">
      <c r="A1246" s="326" t="s">
        <v>27</v>
      </c>
      <c r="B1246" s="326"/>
      <c r="C1246" s="326"/>
      <c r="D1246" s="326"/>
      <c r="E1246" s="326"/>
      <c r="F1246" s="326"/>
      <c r="G1246" s="326"/>
      <c r="H1246" s="326"/>
    </row>
    <row r="1247" spans="1:25" ht="15.75" thickBot="1" x14ac:dyDescent="0.3">
      <c r="A1247" s="327" t="s">
        <v>272</v>
      </c>
      <c r="B1247" s="328"/>
      <c r="C1247" s="328"/>
      <c r="D1247" s="328"/>
      <c r="E1247" s="328"/>
      <c r="F1247" s="328"/>
      <c r="G1247" s="328"/>
      <c r="H1247" s="328"/>
      <c r="I1247" s="328"/>
      <c r="J1247" s="328"/>
      <c r="K1247" s="328"/>
      <c r="L1247" s="328"/>
      <c r="M1247" s="328"/>
      <c r="N1247" s="328"/>
      <c r="O1247" s="328"/>
      <c r="P1247" s="328"/>
      <c r="Q1247" s="328"/>
      <c r="R1247" s="328"/>
      <c r="S1247" s="328"/>
      <c r="T1247" s="328"/>
      <c r="U1247" s="328"/>
      <c r="V1247" s="328"/>
      <c r="W1247" s="328"/>
      <c r="X1247" s="328"/>
      <c r="Y1247" s="329"/>
    </row>
    <row r="1249" spans="1:25" ht="15.75" thickBot="1" x14ac:dyDescent="0.3">
      <c r="A1249" s="326" t="s">
        <v>121</v>
      </c>
      <c r="B1249" s="326"/>
      <c r="C1249" s="326"/>
      <c r="E1249" s="326" t="s">
        <v>122</v>
      </c>
      <c r="F1249" s="326"/>
      <c r="G1249" s="326"/>
    </row>
    <row r="1250" spans="1:25" ht="15.75" thickBot="1" x14ac:dyDescent="0.3">
      <c r="A1250" s="330" t="s">
        <v>64</v>
      </c>
      <c r="B1250" s="331"/>
      <c r="E1250" s="330" t="s">
        <v>66</v>
      </c>
      <c r="F1250" s="331"/>
    </row>
    <row r="1252" spans="1:25" ht="19.5" thickBot="1" x14ac:dyDescent="0.35">
      <c r="A1252" s="332" t="s">
        <v>479</v>
      </c>
      <c r="B1252" s="332"/>
      <c r="C1252" s="332"/>
      <c r="D1252" s="332"/>
      <c r="E1252" s="332"/>
      <c r="F1252" s="332"/>
      <c r="H1252" s="332" t="s">
        <v>480</v>
      </c>
      <c r="I1252" s="332"/>
      <c r="J1252" s="332"/>
    </row>
    <row r="1253" spans="1:25" x14ac:dyDescent="0.25">
      <c r="A1253" s="317" t="s">
        <v>549</v>
      </c>
      <c r="B1253" s="318"/>
      <c r="C1253" s="318"/>
      <c r="D1253" s="318"/>
      <c r="E1253" s="318"/>
      <c r="F1253" s="318"/>
      <c r="G1253" s="318"/>
      <c r="H1253" s="318"/>
      <c r="I1253" s="318"/>
      <c r="J1253" s="318"/>
      <c r="K1253" s="318"/>
      <c r="L1253" s="318"/>
      <c r="M1253" s="318"/>
      <c r="N1253" s="318"/>
      <c r="O1253" s="318"/>
      <c r="P1253" s="318"/>
      <c r="Q1253" s="318"/>
      <c r="R1253" s="318"/>
      <c r="S1253" s="318"/>
      <c r="T1253" s="318"/>
      <c r="U1253" s="318"/>
      <c r="V1253" s="318"/>
      <c r="W1253" s="318"/>
      <c r="X1253" s="318"/>
      <c r="Y1253" s="319"/>
    </row>
    <row r="1254" spans="1:25" x14ac:dyDescent="0.25">
      <c r="A1254" s="320"/>
      <c r="B1254" s="321"/>
      <c r="C1254" s="321"/>
      <c r="D1254" s="321"/>
      <c r="E1254" s="321"/>
      <c r="F1254" s="321"/>
      <c r="G1254" s="321"/>
      <c r="H1254" s="321"/>
      <c r="I1254" s="321"/>
      <c r="J1254" s="321"/>
      <c r="K1254" s="321"/>
      <c r="L1254" s="321"/>
      <c r="M1254" s="321"/>
      <c r="N1254" s="321"/>
      <c r="O1254" s="321"/>
      <c r="P1254" s="321"/>
      <c r="Q1254" s="321"/>
      <c r="R1254" s="321"/>
      <c r="S1254" s="321"/>
      <c r="T1254" s="321"/>
      <c r="U1254" s="321"/>
      <c r="V1254" s="321"/>
      <c r="W1254" s="321"/>
      <c r="X1254" s="321"/>
      <c r="Y1254" s="322"/>
    </row>
    <row r="1255" spans="1:25" x14ac:dyDescent="0.25">
      <c r="A1255" s="320"/>
      <c r="B1255" s="321"/>
      <c r="C1255" s="321"/>
      <c r="D1255" s="321"/>
      <c r="E1255" s="321"/>
      <c r="F1255" s="321"/>
      <c r="G1255" s="321"/>
      <c r="H1255" s="321"/>
      <c r="I1255" s="321"/>
      <c r="J1255" s="321"/>
      <c r="K1255" s="321"/>
      <c r="L1255" s="321"/>
      <c r="M1255" s="321"/>
      <c r="N1255" s="321"/>
      <c r="O1255" s="321"/>
      <c r="P1255" s="321"/>
      <c r="Q1255" s="321"/>
      <c r="R1255" s="321"/>
      <c r="S1255" s="321"/>
      <c r="T1255" s="321"/>
      <c r="U1255" s="321"/>
      <c r="V1255" s="321"/>
      <c r="W1255" s="321"/>
      <c r="X1255" s="321"/>
      <c r="Y1255" s="322"/>
    </row>
    <row r="1256" spans="1:25" x14ac:dyDescent="0.25">
      <c r="A1256" s="320"/>
      <c r="B1256" s="321"/>
      <c r="C1256" s="321"/>
      <c r="D1256" s="321"/>
      <c r="E1256" s="321"/>
      <c r="F1256" s="321"/>
      <c r="G1256" s="321"/>
      <c r="H1256" s="321"/>
      <c r="I1256" s="321"/>
      <c r="J1256" s="321"/>
      <c r="K1256" s="321"/>
      <c r="L1256" s="321"/>
      <c r="M1256" s="321"/>
      <c r="N1256" s="321"/>
      <c r="O1256" s="321"/>
      <c r="P1256" s="321"/>
      <c r="Q1256" s="321"/>
      <c r="R1256" s="321"/>
      <c r="S1256" s="321"/>
      <c r="T1256" s="321"/>
      <c r="U1256" s="321"/>
      <c r="V1256" s="321"/>
      <c r="W1256" s="321"/>
      <c r="X1256" s="321"/>
      <c r="Y1256" s="322"/>
    </row>
    <row r="1257" spans="1:25" x14ac:dyDescent="0.25">
      <c r="A1257" s="320"/>
      <c r="B1257" s="321"/>
      <c r="C1257" s="321"/>
      <c r="D1257" s="321"/>
      <c r="E1257" s="321"/>
      <c r="F1257" s="321"/>
      <c r="G1257" s="321"/>
      <c r="H1257" s="321"/>
      <c r="I1257" s="321"/>
      <c r="J1257" s="321"/>
      <c r="K1257" s="321"/>
      <c r="L1257" s="321"/>
      <c r="M1257" s="321"/>
      <c r="N1257" s="321"/>
      <c r="O1257" s="321"/>
      <c r="P1257" s="321"/>
      <c r="Q1257" s="321"/>
      <c r="R1257" s="321"/>
      <c r="S1257" s="321"/>
      <c r="T1257" s="321"/>
      <c r="U1257" s="321"/>
      <c r="V1257" s="321"/>
      <c r="W1257" s="321"/>
      <c r="X1257" s="321"/>
      <c r="Y1257" s="322"/>
    </row>
    <row r="1258" spans="1:25" x14ac:dyDescent="0.25">
      <c r="A1258" s="320"/>
      <c r="B1258" s="321"/>
      <c r="C1258" s="321"/>
      <c r="D1258" s="321"/>
      <c r="E1258" s="321"/>
      <c r="F1258" s="321"/>
      <c r="G1258" s="321"/>
      <c r="H1258" s="321"/>
      <c r="I1258" s="321"/>
      <c r="J1258" s="321"/>
      <c r="K1258" s="321"/>
      <c r="L1258" s="321"/>
      <c r="M1258" s="321"/>
      <c r="N1258" s="321"/>
      <c r="O1258" s="321"/>
      <c r="P1258" s="321"/>
      <c r="Q1258" s="321"/>
      <c r="R1258" s="321"/>
      <c r="S1258" s="321"/>
      <c r="T1258" s="321"/>
      <c r="U1258" s="321"/>
      <c r="V1258" s="321"/>
      <c r="W1258" s="321"/>
      <c r="X1258" s="321"/>
      <c r="Y1258" s="322"/>
    </row>
    <row r="1259" spans="1:25" x14ac:dyDescent="0.25">
      <c r="A1259" s="320"/>
      <c r="B1259" s="321"/>
      <c r="C1259" s="321"/>
      <c r="D1259" s="321"/>
      <c r="E1259" s="321"/>
      <c r="F1259" s="321"/>
      <c r="G1259" s="321"/>
      <c r="H1259" s="321"/>
      <c r="I1259" s="321"/>
      <c r="J1259" s="321"/>
      <c r="K1259" s="321"/>
      <c r="L1259" s="321"/>
      <c r="M1259" s="321"/>
      <c r="N1259" s="321"/>
      <c r="O1259" s="321"/>
      <c r="P1259" s="321"/>
      <c r="Q1259" s="321"/>
      <c r="R1259" s="321"/>
      <c r="S1259" s="321"/>
      <c r="T1259" s="321"/>
      <c r="U1259" s="321"/>
      <c r="V1259" s="321"/>
      <c r="W1259" s="321"/>
      <c r="X1259" s="321"/>
      <c r="Y1259" s="322"/>
    </row>
    <row r="1260" spans="1:25" x14ac:dyDescent="0.25">
      <c r="A1260" s="320"/>
      <c r="B1260" s="321"/>
      <c r="C1260" s="321"/>
      <c r="D1260" s="321"/>
      <c r="E1260" s="321"/>
      <c r="F1260" s="321"/>
      <c r="G1260" s="321"/>
      <c r="H1260" s="321"/>
      <c r="I1260" s="321"/>
      <c r="J1260" s="321"/>
      <c r="K1260" s="321"/>
      <c r="L1260" s="321"/>
      <c r="M1260" s="321"/>
      <c r="N1260" s="321"/>
      <c r="O1260" s="321"/>
      <c r="P1260" s="321"/>
      <c r="Q1260" s="321"/>
      <c r="R1260" s="321"/>
      <c r="S1260" s="321"/>
      <c r="T1260" s="321"/>
      <c r="U1260" s="321"/>
      <c r="V1260" s="321"/>
      <c r="W1260" s="321"/>
      <c r="X1260" s="321"/>
      <c r="Y1260" s="322"/>
    </row>
    <row r="1261" spans="1:25" x14ac:dyDescent="0.25">
      <c r="A1261" s="320"/>
      <c r="B1261" s="321"/>
      <c r="C1261" s="321"/>
      <c r="D1261" s="321"/>
      <c r="E1261" s="321"/>
      <c r="F1261" s="321"/>
      <c r="G1261" s="321"/>
      <c r="H1261" s="321"/>
      <c r="I1261" s="321"/>
      <c r="J1261" s="321"/>
      <c r="K1261" s="321"/>
      <c r="L1261" s="321"/>
      <c r="M1261" s="321"/>
      <c r="N1261" s="321"/>
      <c r="O1261" s="321"/>
      <c r="P1261" s="321"/>
      <c r="Q1261" s="321"/>
      <c r="R1261" s="321"/>
      <c r="S1261" s="321"/>
      <c r="T1261" s="321"/>
      <c r="U1261" s="321"/>
      <c r="V1261" s="321"/>
      <c r="W1261" s="321"/>
      <c r="X1261" s="321"/>
      <c r="Y1261" s="322"/>
    </row>
    <row r="1262" spans="1:25" x14ac:dyDescent="0.25">
      <c r="A1262" s="320"/>
      <c r="B1262" s="321"/>
      <c r="C1262" s="321"/>
      <c r="D1262" s="321"/>
      <c r="E1262" s="321"/>
      <c r="F1262" s="321"/>
      <c r="G1262" s="321"/>
      <c r="H1262" s="321"/>
      <c r="I1262" s="321"/>
      <c r="J1262" s="321"/>
      <c r="K1262" s="321"/>
      <c r="L1262" s="321"/>
      <c r="M1262" s="321"/>
      <c r="N1262" s="321"/>
      <c r="O1262" s="321"/>
      <c r="P1262" s="321"/>
      <c r="Q1262" s="321"/>
      <c r="R1262" s="321"/>
      <c r="S1262" s="321"/>
      <c r="T1262" s="321"/>
      <c r="U1262" s="321"/>
      <c r="V1262" s="321"/>
      <c r="W1262" s="321"/>
      <c r="X1262" s="321"/>
      <c r="Y1262" s="322"/>
    </row>
    <row r="1263" spans="1:25" x14ac:dyDescent="0.25">
      <c r="A1263" s="320"/>
      <c r="B1263" s="321"/>
      <c r="C1263" s="321"/>
      <c r="D1263" s="321"/>
      <c r="E1263" s="321"/>
      <c r="F1263" s="321"/>
      <c r="G1263" s="321"/>
      <c r="H1263" s="321"/>
      <c r="I1263" s="321"/>
      <c r="J1263" s="321"/>
      <c r="K1263" s="321"/>
      <c r="L1263" s="321"/>
      <c r="M1263" s="321"/>
      <c r="N1263" s="321"/>
      <c r="O1263" s="321"/>
      <c r="P1263" s="321"/>
      <c r="Q1263" s="321"/>
      <c r="R1263" s="321"/>
      <c r="S1263" s="321"/>
      <c r="T1263" s="321"/>
      <c r="U1263" s="321"/>
      <c r="V1263" s="321"/>
      <c r="W1263" s="321"/>
      <c r="X1263" s="321"/>
      <c r="Y1263" s="322"/>
    </row>
    <row r="1264" spans="1:25" x14ac:dyDescent="0.25">
      <c r="A1264" s="320"/>
      <c r="B1264" s="321"/>
      <c r="C1264" s="321"/>
      <c r="D1264" s="321"/>
      <c r="E1264" s="321"/>
      <c r="F1264" s="321"/>
      <c r="G1264" s="321"/>
      <c r="H1264" s="321"/>
      <c r="I1264" s="321"/>
      <c r="J1264" s="321"/>
      <c r="K1264" s="321"/>
      <c r="L1264" s="321"/>
      <c r="M1264" s="321"/>
      <c r="N1264" s="321"/>
      <c r="O1264" s="321"/>
      <c r="P1264" s="321"/>
      <c r="Q1264" s="321"/>
      <c r="R1264" s="321"/>
      <c r="S1264" s="321"/>
      <c r="T1264" s="321"/>
      <c r="U1264" s="321"/>
      <c r="V1264" s="321"/>
      <c r="W1264" s="321"/>
      <c r="X1264" s="321"/>
      <c r="Y1264" s="322"/>
    </row>
    <row r="1265" spans="1:25" x14ac:dyDescent="0.25">
      <c r="A1265" s="320"/>
      <c r="B1265" s="321"/>
      <c r="C1265" s="321"/>
      <c r="D1265" s="321"/>
      <c r="E1265" s="321"/>
      <c r="F1265" s="321"/>
      <c r="G1265" s="321"/>
      <c r="H1265" s="321"/>
      <c r="I1265" s="321"/>
      <c r="J1265" s="321"/>
      <c r="K1265" s="321"/>
      <c r="L1265" s="321"/>
      <c r="M1265" s="321"/>
      <c r="N1265" s="321"/>
      <c r="O1265" s="321"/>
      <c r="P1265" s="321"/>
      <c r="Q1265" s="321"/>
      <c r="R1265" s="321"/>
      <c r="S1265" s="321"/>
      <c r="T1265" s="321"/>
      <c r="U1265" s="321"/>
      <c r="V1265" s="321"/>
      <c r="W1265" s="321"/>
      <c r="X1265" s="321"/>
      <c r="Y1265" s="322"/>
    </row>
    <row r="1266" spans="1:25" ht="15.75" thickBot="1" x14ac:dyDescent="0.3">
      <c r="A1266" s="323"/>
      <c r="B1266" s="324"/>
      <c r="C1266" s="324"/>
      <c r="D1266" s="324"/>
      <c r="E1266" s="324"/>
      <c r="F1266" s="324"/>
      <c r="G1266" s="324"/>
      <c r="H1266" s="324"/>
      <c r="I1266" s="324"/>
      <c r="J1266" s="324"/>
      <c r="K1266" s="324"/>
      <c r="L1266" s="324"/>
      <c r="M1266" s="324"/>
      <c r="N1266" s="324"/>
      <c r="O1266" s="324"/>
      <c r="P1266" s="324"/>
      <c r="Q1266" s="324"/>
      <c r="R1266" s="324"/>
      <c r="S1266" s="324"/>
      <c r="T1266" s="324"/>
      <c r="U1266" s="324"/>
      <c r="V1266" s="324"/>
      <c r="W1266" s="324"/>
      <c r="X1266" s="324"/>
      <c r="Y1266" s="325"/>
    </row>
    <row r="1268" spans="1:25" ht="15.75" thickBot="1" x14ac:dyDescent="0.3">
      <c r="A1268" s="326" t="s">
        <v>29</v>
      </c>
      <c r="B1268" s="326"/>
      <c r="C1268" s="326"/>
      <c r="D1268" s="326"/>
    </row>
    <row r="1269" spans="1:25" x14ac:dyDescent="0.25">
      <c r="A1269" s="317" t="s">
        <v>481</v>
      </c>
      <c r="B1269" s="318"/>
      <c r="C1269" s="318"/>
      <c r="D1269" s="318"/>
      <c r="E1269" s="318"/>
      <c r="F1269" s="318"/>
      <c r="G1269" s="318"/>
      <c r="H1269" s="318"/>
      <c r="I1269" s="318"/>
      <c r="J1269" s="318"/>
      <c r="K1269" s="318"/>
      <c r="L1269" s="318"/>
      <c r="M1269" s="318"/>
      <c r="N1269" s="318"/>
      <c r="O1269" s="318"/>
      <c r="P1269" s="318"/>
      <c r="Q1269" s="318"/>
      <c r="R1269" s="318"/>
      <c r="S1269" s="318"/>
      <c r="T1269" s="318"/>
      <c r="U1269" s="318"/>
      <c r="V1269" s="318"/>
      <c r="W1269" s="318"/>
      <c r="X1269" s="318"/>
      <c r="Y1269" s="319"/>
    </row>
    <row r="1270" spans="1:25" x14ac:dyDescent="0.25">
      <c r="A1270" s="320"/>
      <c r="B1270" s="321"/>
      <c r="C1270" s="321"/>
      <c r="D1270" s="321"/>
      <c r="E1270" s="321"/>
      <c r="F1270" s="321"/>
      <c r="G1270" s="321"/>
      <c r="H1270" s="321"/>
      <c r="I1270" s="321"/>
      <c r="J1270" s="321"/>
      <c r="K1270" s="321"/>
      <c r="L1270" s="321"/>
      <c r="M1270" s="321"/>
      <c r="N1270" s="321"/>
      <c r="O1270" s="321"/>
      <c r="P1270" s="321"/>
      <c r="Q1270" s="321"/>
      <c r="R1270" s="321"/>
      <c r="S1270" s="321"/>
      <c r="T1270" s="321"/>
      <c r="U1270" s="321"/>
      <c r="V1270" s="321"/>
      <c r="W1270" s="321"/>
      <c r="X1270" s="321"/>
      <c r="Y1270" s="322"/>
    </row>
    <row r="1271" spans="1:25" x14ac:dyDescent="0.25">
      <c r="A1271" s="320"/>
      <c r="B1271" s="321"/>
      <c r="C1271" s="321"/>
      <c r="D1271" s="321"/>
      <c r="E1271" s="321"/>
      <c r="F1271" s="321"/>
      <c r="G1271" s="321"/>
      <c r="H1271" s="321"/>
      <c r="I1271" s="321"/>
      <c r="J1271" s="321"/>
      <c r="K1271" s="321"/>
      <c r="L1271" s="321"/>
      <c r="M1271" s="321"/>
      <c r="N1271" s="321"/>
      <c r="O1271" s="321"/>
      <c r="P1271" s="321"/>
      <c r="Q1271" s="321"/>
      <c r="R1271" s="321"/>
      <c r="S1271" s="321"/>
      <c r="T1271" s="321"/>
      <c r="U1271" s="321"/>
      <c r="V1271" s="321"/>
      <c r="W1271" s="321"/>
      <c r="X1271" s="321"/>
      <c r="Y1271" s="322"/>
    </row>
    <row r="1272" spans="1:25" x14ac:dyDescent="0.25">
      <c r="A1272" s="320"/>
      <c r="B1272" s="321"/>
      <c r="C1272" s="321"/>
      <c r="D1272" s="321"/>
      <c r="E1272" s="321"/>
      <c r="F1272" s="321"/>
      <c r="G1272" s="321"/>
      <c r="H1272" s="321"/>
      <c r="I1272" s="321"/>
      <c r="J1272" s="321"/>
      <c r="K1272" s="321"/>
      <c r="L1272" s="321"/>
      <c r="M1272" s="321"/>
      <c r="N1272" s="321"/>
      <c r="O1272" s="321"/>
      <c r="P1272" s="321"/>
      <c r="Q1272" s="321"/>
      <c r="R1272" s="321"/>
      <c r="S1272" s="321"/>
      <c r="T1272" s="321"/>
      <c r="U1272" s="321"/>
      <c r="V1272" s="321"/>
      <c r="W1272" s="321"/>
      <c r="X1272" s="321"/>
      <c r="Y1272" s="322"/>
    </row>
    <row r="1273" spans="1:25" x14ac:dyDescent="0.25">
      <c r="A1273" s="320"/>
      <c r="B1273" s="321"/>
      <c r="C1273" s="321"/>
      <c r="D1273" s="321"/>
      <c r="E1273" s="321"/>
      <c r="F1273" s="321"/>
      <c r="G1273" s="321"/>
      <c r="H1273" s="321"/>
      <c r="I1273" s="321"/>
      <c r="J1273" s="321"/>
      <c r="K1273" s="321"/>
      <c r="L1273" s="321"/>
      <c r="M1273" s="321"/>
      <c r="N1273" s="321"/>
      <c r="O1273" s="321"/>
      <c r="P1273" s="321"/>
      <c r="Q1273" s="321"/>
      <c r="R1273" s="321"/>
      <c r="S1273" s="321"/>
      <c r="T1273" s="321"/>
      <c r="U1273" s="321"/>
      <c r="V1273" s="321"/>
      <c r="W1273" s="321"/>
      <c r="X1273" s="321"/>
      <c r="Y1273" s="322"/>
    </row>
    <row r="1274" spans="1:25" x14ac:dyDescent="0.25">
      <c r="A1274" s="320"/>
      <c r="B1274" s="321"/>
      <c r="C1274" s="321"/>
      <c r="D1274" s="321"/>
      <c r="E1274" s="321"/>
      <c r="F1274" s="321"/>
      <c r="G1274" s="321"/>
      <c r="H1274" s="321"/>
      <c r="I1274" s="321"/>
      <c r="J1274" s="321"/>
      <c r="K1274" s="321"/>
      <c r="L1274" s="321"/>
      <c r="M1274" s="321"/>
      <c r="N1274" s="321"/>
      <c r="O1274" s="321"/>
      <c r="P1274" s="321"/>
      <c r="Q1274" s="321"/>
      <c r="R1274" s="321"/>
      <c r="S1274" s="321"/>
      <c r="T1274" s="321"/>
      <c r="U1274" s="321"/>
      <c r="V1274" s="321"/>
      <c r="W1274" s="321"/>
      <c r="X1274" s="321"/>
      <c r="Y1274" s="322"/>
    </row>
    <row r="1275" spans="1:25" ht="15.75" thickBot="1" x14ac:dyDescent="0.3">
      <c r="A1275" s="323"/>
      <c r="B1275" s="324"/>
      <c r="C1275" s="324"/>
      <c r="D1275" s="324"/>
      <c r="E1275" s="324"/>
      <c r="F1275" s="324"/>
      <c r="G1275" s="324"/>
      <c r="H1275" s="324"/>
      <c r="I1275" s="324"/>
      <c r="J1275" s="324"/>
      <c r="K1275" s="324"/>
      <c r="L1275" s="324"/>
      <c r="M1275" s="324"/>
      <c r="N1275" s="324"/>
      <c r="O1275" s="324"/>
      <c r="P1275" s="324"/>
      <c r="Q1275" s="324"/>
      <c r="R1275" s="324"/>
      <c r="S1275" s="324"/>
      <c r="T1275" s="324"/>
      <c r="U1275" s="324"/>
      <c r="V1275" s="324"/>
      <c r="W1275" s="324"/>
      <c r="X1275" s="324"/>
      <c r="Y1275" s="325"/>
    </row>
    <row r="1277" spans="1:25" ht="15.75" thickBot="1" x14ac:dyDescent="0.3">
      <c r="A1277" s="326" t="s">
        <v>27</v>
      </c>
      <c r="B1277" s="326"/>
      <c r="C1277" s="326"/>
      <c r="D1277" s="326"/>
      <c r="E1277" s="326"/>
      <c r="F1277" s="326"/>
      <c r="G1277" s="326"/>
      <c r="H1277" s="326"/>
    </row>
    <row r="1278" spans="1:25" ht="15.75" thickBot="1" x14ac:dyDescent="0.3">
      <c r="A1278" s="327" t="s">
        <v>272</v>
      </c>
      <c r="B1278" s="328"/>
      <c r="C1278" s="328"/>
      <c r="D1278" s="328"/>
      <c r="E1278" s="328"/>
      <c r="F1278" s="328"/>
      <c r="G1278" s="328"/>
      <c r="H1278" s="328"/>
      <c r="I1278" s="328"/>
      <c r="J1278" s="328"/>
      <c r="K1278" s="328"/>
      <c r="L1278" s="328"/>
      <c r="M1278" s="328"/>
      <c r="N1278" s="328"/>
      <c r="O1278" s="328"/>
      <c r="P1278" s="328"/>
      <c r="Q1278" s="328"/>
      <c r="R1278" s="328"/>
      <c r="S1278" s="328"/>
      <c r="T1278" s="328"/>
      <c r="U1278" s="328"/>
      <c r="V1278" s="328"/>
      <c r="W1278" s="328"/>
      <c r="X1278" s="328"/>
      <c r="Y1278" s="329"/>
    </row>
    <row r="1280" spans="1:25" ht="15.75" thickBot="1" x14ac:dyDescent="0.3">
      <c r="A1280" s="326" t="s">
        <v>121</v>
      </c>
      <c r="B1280" s="326"/>
      <c r="C1280" s="326"/>
      <c r="E1280" s="326" t="s">
        <v>122</v>
      </c>
      <c r="F1280" s="326"/>
      <c r="G1280" s="326"/>
    </row>
    <row r="1281" spans="1:25" ht="15.75" thickBot="1" x14ac:dyDescent="0.3">
      <c r="A1281" s="330" t="s">
        <v>64</v>
      </c>
      <c r="B1281" s="331"/>
      <c r="E1281" s="330" t="s">
        <v>66</v>
      </c>
      <c r="F1281" s="331"/>
    </row>
    <row r="1284" spans="1:25" ht="19.5" thickBot="1" x14ac:dyDescent="0.35">
      <c r="A1284" s="332" t="s">
        <v>485</v>
      </c>
      <c r="B1284" s="332"/>
      <c r="C1284" s="332"/>
      <c r="D1284" s="332"/>
      <c r="E1284" s="332"/>
      <c r="F1284" s="332"/>
      <c r="H1284" s="332" t="s">
        <v>490</v>
      </c>
      <c r="I1284" s="332"/>
      <c r="J1284" s="332"/>
    </row>
    <row r="1285" spans="1:25" x14ac:dyDescent="0.25">
      <c r="A1285" s="317" t="s">
        <v>487</v>
      </c>
      <c r="B1285" s="318"/>
      <c r="C1285" s="318"/>
      <c r="D1285" s="318"/>
      <c r="E1285" s="318"/>
      <c r="F1285" s="318"/>
      <c r="G1285" s="318"/>
      <c r="H1285" s="318"/>
      <c r="I1285" s="318"/>
      <c r="J1285" s="318"/>
      <c r="K1285" s="318"/>
      <c r="L1285" s="318"/>
      <c r="M1285" s="318"/>
      <c r="N1285" s="318"/>
      <c r="O1285" s="318"/>
      <c r="P1285" s="318"/>
      <c r="Q1285" s="318"/>
      <c r="R1285" s="318"/>
      <c r="S1285" s="318"/>
      <c r="T1285" s="318"/>
      <c r="U1285" s="318"/>
      <c r="V1285" s="318"/>
      <c r="W1285" s="318"/>
      <c r="X1285" s="318"/>
      <c r="Y1285" s="319"/>
    </row>
    <row r="1286" spans="1:25" x14ac:dyDescent="0.25">
      <c r="A1286" s="320"/>
      <c r="B1286" s="321"/>
      <c r="C1286" s="321"/>
      <c r="D1286" s="321"/>
      <c r="E1286" s="321"/>
      <c r="F1286" s="321"/>
      <c r="G1286" s="321"/>
      <c r="H1286" s="321"/>
      <c r="I1286" s="321"/>
      <c r="J1286" s="321"/>
      <c r="K1286" s="321"/>
      <c r="L1286" s="321"/>
      <c r="M1286" s="321"/>
      <c r="N1286" s="321"/>
      <c r="O1286" s="321"/>
      <c r="P1286" s="321"/>
      <c r="Q1286" s="321"/>
      <c r="R1286" s="321"/>
      <c r="S1286" s="321"/>
      <c r="T1286" s="321"/>
      <c r="U1286" s="321"/>
      <c r="V1286" s="321"/>
      <c r="W1286" s="321"/>
      <c r="X1286" s="321"/>
      <c r="Y1286" s="322"/>
    </row>
    <row r="1287" spans="1:25" x14ac:dyDescent="0.25">
      <c r="A1287" s="320"/>
      <c r="B1287" s="321"/>
      <c r="C1287" s="321"/>
      <c r="D1287" s="321"/>
      <c r="E1287" s="321"/>
      <c r="F1287" s="321"/>
      <c r="G1287" s="321"/>
      <c r="H1287" s="321"/>
      <c r="I1287" s="321"/>
      <c r="J1287" s="321"/>
      <c r="K1287" s="321"/>
      <c r="L1287" s="321"/>
      <c r="M1287" s="321"/>
      <c r="N1287" s="321"/>
      <c r="O1287" s="321"/>
      <c r="P1287" s="321"/>
      <c r="Q1287" s="321"/>
      <c r="R1287" s="321"/>
      <c r="S1287" s="321"/>
      <c r="T1287" s="321"/>
      <c r="U1287" s="321"/>
      <c r="V1287" s="321"/>
      <c r="W1287" s="321"/>
      <c r="X1287" s="321"/>
      <c r="Y1287" s="322"/>
    </row>
    <row r="1288" spans="1:25" x14ac:dyDescent="0.25">
      <c r="A1288" s="320"/>
      <c r="B1288" s="321"/>
      <c r="C1288" s="321"/>
      <c r="D1288" s="321"/>
      <c r="E1288" s="321"/>
      <c r="F1288" s="321"/>
      <c r="G1288" s="321"/>
      <c r="H1288" s="321"/>
      <c r="I1288" s="321"/>
      <c r="J1288" s="321"/>
      <c r="K1288" s="321"/>
      <c r="L1288" s="321"/>
      <c r="M1288" s="321"/>
      <c r="N1288" s="321"/>
      <c r="O1288" s="321"/>
      <c r="P1288" s="321"/>
      <c r="Q1288" s="321"/>
      <c r="R1288" s="321"/>
      <c r="S1288" s="321"/>
      <c r="T1288" s="321"/>
      <c r="U1288" s="321"/>
      <c r="V1288" s="321"/>
      <c r="W1288" s="321"/>
      <c r="X1288" s="321"/>
      <c r="Y1288" s="322"/>
    </row>
    <row r="1289" spans="1:25" x14ac:dyDescent="0.25">
      <c r="A1289" s="320"/>
      <c r="B1289" s="321"/>
      <c r="C1289" s="321"/>
      <c r="D1289" s="321"/>
      <c r="E1289" s="321"/>
      <c r="F1289" s="321"/>
      <c r="G1289" s="321"/>
      <c r="H1289" s="321"/>
      <c r="I1289" s="321"/>
      <c r="J1289" s="321"/>
      <c r="K1289" s="321"/>
      <c r="L1289" s="321"/>
      <c r="M1289" s="321"/>
      <c r="N1289" s="321"/>
      <c r="O1289" s="321"/>
      <c r="P1289" s="321"/>
      <c r="Q1289" s="321"/>
      <c r="R1289" s="321"/>
      <c r="S1289" s="321"/>
      <c r="T1289" s="321"/>
      <c r="U1289" s="321"/>
      <c r="V1289" s="321"/>
      <c r="W1289" s="321"/>
      <c r="X1289" s="321"/>
      <c r="Y1289" s="322"/>
    </row>
    <row r="1290" spans="1:25" x14ac:dyDescent="0.25">
      <c r="A1290" s="320"/>
      <c r="B1290" s="321"/>
      <c r="C1290" s="321"/>
      <c r="D1290" s="321"/>
      <c r="E1290" s="321"/>
      <c r="F1290" s="321"/>
      <c r="G1290" s="321"/>
      <c r="H1290" s="321"/>
      <c r="I1290" s="321"/>
      <c r="J1290" s="321"/>
      <c r="K1290" s="321"/>
      <c r="L1290" s="321"/>
      <c r="M1290" s="321"/>
      <c r="N1290" s="321"/>
      <c r="O1290" s="321"/>
      <c r="P1290" s="321"/>
      <c r="Q1290" s="321"/>
      <c r="R1290" s="321"/>
      <c r="S1290" s="321"/>
      <c r="T1290" s="321"/>
      <c r="U1290" s="321"/>
      <c r="V1290" s="321"/>
      <c r="W1290" s="321"/>
      <c r="X1290" s="321"/>
      <c r="Y1290" s="322"/>
    </row>
    <row r="1291" spans="1:25" x14ac:dyDescent="0.25">
      <c r="A1291" s="320"/>
      <c r="B1291" s="321"/>
      <c r="C1291" s="321"/>
      <c r="D1291" s="321"/>
      <c r="E1291" s="321"/>
      <c r="F1291" s="321"/>
      <c r="G1291" s="321"/>
      <c r="H1291" s="321"/>
      <c r="I1291" s="321"/>
      <c r="J1291" s="321"/>
      <c r="K1291" s="321"/>
      <c r="L1291" s="321"/>
      <c r="M1291" s="321"/>
      <c r="N1291" s="321"/>
      <c r="O1291" s="321"/>
      <c r="P1291" s="321"/>
      <c r="Q1291" s="321"/>
      <c r="R1291" s="321"/>
      <c r="S1291" s="321"/>
      <c r="T1291" s="321"/>
      <c r="U1291" s="321"/>
      <c r="V1291" s="321"/>
      <c r="W1291" s="321"/>
      <c r="X1291" s="321"/>
      <c r="Y1291" s="322"/>
    </row>
    <row r="1292" spans="1:25" x14ac:dyDescent="0.25">
      <c r="A1292" s="320"/>
      <c r="B1292" s="321"/>
      <c r="C1292" s="321"/>
      <c r="D1292" s="321"/>
      <c r="E1292" s="321"/>
      <c r="F1292" s="321"/>
      <c r="G1292" s="321"/>
      <c r="H1292" s="321"/>
      <c r="I1292" s="321"/>
      <c r="J1292" s="321"/>
      <c r="K1292" s="321"/>
      <c r="L1292" s="321"/>
      <c r="M1292" s="321"/>
      <c r="N1292" s="321"/>
      <c r="O1292" s="321"/>
      <c r="P1292" s="321"/>
      <c r="Q1292" s="321"/>
      <c r="R1292" s="321"/>
      <c r="S1292" s="321"/>
      <c r="T1292" s="321"/>
      <c r="U1292" s="321"/>
      <c r="V1292" s="321"/>
      <c r="W1292" s="321"/>
      <c r="X1292" s="321"/>
      <c r="Y1292" s="322"/>
    </row>
    <row r="1293" spans="1:25" x14ac:dyDescent="0.25">
      <c r="A1293" s="320"/>
      <c r="B1293" s="321"/>
      <c r="C1293" s="321"/>
      <c r="D1293" s="321"/>
      <c r="E1293" s="321"/>
      <c r="F1293" s="321"/>
      <c r="G1293" s="321"/>
      <c r="H1293" s="321"/>
      <c r="I1293" s="321"/>
      <c r="J1293" s="321"/>
      <c r="K1293" s="321"/>
      <c r="L1293" s="321"/>
      <c r="M1293" s="321"/>
      <c r="N1293" s="321"/>
      <c r="O1293" s="321"/>
      <c r="P1293" s="321"/>
      <c r="Q1293" s="321"/>
      <c r="R1293" s="321"/>
      <c r="S1293" s="321"/>
      <c r="T1293" s="321"/>
      <c r="U1293" s="321"/>
      <c r="V1293" s="321"/>
      <c r="W1293" s="321"/>
      <c r="X1293" s="321"/>
      <c r="Y1293" s="322"/>
    </row>
    <row r="1294" spans="1:25" x14ac:dyDescent="0.25">
      <c r="A1294" s="320"/>
      <c r="B1294" s="321"/>
      <c r="C1294" s="321"/>
      <c r="D1294" s="321"/>
      <c r="E1294" s="321"/>
      <c r="F1294" s="321"/>
      <c r="G1294" s="321"/>
      <c r="H1294" s="321"/>
      <c r="I1294" s="321"/>
      <c r="J1294" s="321"/>
      <c r="K1294" s="321"/>
      <c r="L1294" s="321"/>
      <c r="M1294" s="321"/>
      <c r="N1294" s="321"/>
      <c r="O1294" s="321"/>
      <c r="P1294" s="321"/>
      <c r="Q1294" s="321"/>
      <c r="R1294" s="321"/>
      <c r="S1294" s="321"/>
      <c r="T1294" s="321"/>
      <c r="U1294" s="321"/>
      <c r="V1294" s="321"/>
      <c r="W1294" s="321"/>
      <c r="X1294" s="321"/>
      <c r="Y1294" s="322"/>
    </row>
    <row r="1295" spans="1:25" x14ac:dyDescent="0.25">
      <c r="A1295" s="320"/>
      <c r="B1295" s="321"/>
      <c r="C1295" s="321"/>
      <c r="D1295" s="321"/>
      <c r="E1295" s="321"/>
      <c r="F1295" s="321"/>
      <c r="G1295" s="321"/>
      <c r="H1295" s="321"/>
      <c r="I1295" s="321"/>
      <c r="J1295" s="321"/>
      <c r="K1295" s="321"/>
      <c r="L1295" s="321"/>
      <c r="M1295" s="321"/>
      <c r="N1295" s="321"/>
      <c r="O1295" s="321"/>
      <c r="P1295" s="321"/>
      <c r="Q1295" s="321"/>
      <c r="R1295" s="321"/>
      <c r="S1295" s="321"/>
      <c r="T1295" s="321"/>
      <c r="U1295" s="321"/>
      <c r="V1295" s="321"/>
      <c r="W1295" s="321"/>
      <c r="X1295" s="321"/>
      <c r="Y1295" s="322"/>
    </row>
    <row r="1296" spans="1:25" x14ac:dyDescent="0.25">
      <c r="A1296" s="320"/>
      <c r="B1296" s="321"/>
      <c r="C1296" s="321"/>
      <c r="D1296" s="321"/>
      <c r="E1296" s="321"/>
      <c r="F1296" s="321"/>
      <c r="G1296" s="321"/>
      <c r="H1296" s="321"/>
      <c r="I1296" s="321"/>
      <c r="J1296" s="321"/>
      <c r="K1296" s="321"/>
      <c r="L1296" s="321"/>
      <c r="M1296" s="321"/>
      <c r="N1296" s="321"/>
      <c r="O1296" s="321"/>
      <c r="P1296" s="321"/>
      <c r="Q1296" s="321"/>
      <c r="R1296" s="321"/>
      <c r="S1296" s="321"/>
      <c r="T1296" s="321"/>
      <c r="U1296" s="321"/>
      <c r="V1296" s="321"/>
      <c r="W1296" s="321"/>
      <c r="X1296" s="321"/>
      <c r="Y1296" s="322"/>
    </row>
    <row r="1297" spans="1:25" x14ac:dyDescent="0.25">
      <c r="A1297" s="320"/>
      <c r="B1297" s="321"/>
      <c r="C1297" s="321"/>
      <c r="D1297" s="321"/>
      <c r="E1297" s="321"/>
      <c r="F1297" s="321"/>
      <c r="G1297" s="321"/>
      <c r="H1297" s="321"/>
      <c r="I1297" s="321"/>
      <c r="J1297" s="321"/>
      <c r="K1297" s="321"/>
      <c r="L1297" s="321"/>
      <c r="M1297" s="321"/>
      <c r="N1297" s="321"/>
      <c r="O1297" s="321"/>
      <c r="P1297" s="321"/>
      <c r="Q1297" s="321"/>
      <c r="R1297" s="321"/>
      <c r="S1297" s="321"/>
      <c r="T1297" s="321"/>
      <c r="U1297" s="321"/>
      <c r="V1297" s="321"/>
      <c r="W1297" s="321"/>
      <c r="X1297" s="321"/>
      <c r="Y1297" s="322"/>
    </row>
    <row r="1298" spans="1:25" ht="15.75" thickBot="1" x14ac:dyDescent="0.3">
      <c r="A1298" s="323"/>
      <c r="B1298" s="324"/>
      <c r="C1298" s="324"/>
      <c r="D1298" s="324"/>
      <c r="E1298" s="324"/>
      <c r="F1298" s="324"/>
      <c r="G1298" s="324"/>
      <c r="H1298" s="324"/>
      <c r="I1298" s="324"/>
      <c r="J1298" s="324"/>
      <c r="K1298" s="324"/>
      <c r="L1298" s="324"/>
      <c r="M1298" s="324"/>
      <c r="N1298" s="324"/>
      <c r="O1298" s="324"/>
      <c r="P1298" s="324"/>
      <c r="Q1298" s="324"/>
      <c r="R1298" s="324"/>
      <c r="S1298" s="324"/>
      <c r="T1298" s="324"/>
      <c r="U1298" s="324"/>
      <c r="V1298" s="324"/>
      <c r="W1298" s="324"/>
      <c r="X1298" s="324"/>
      <c r="Y1298" s="325"/>
    </row>
    <row r="1300" spans="1:25" ht="15.75" thickBot="1" x14ac:dyDescent="0.3">
      <c r="A1300" s="326" t="s">
        <v>29</v>
      </c>
      <c r="B1300" s="326"/>
      <c r="C1300" s="326"/>
      <c r="D1300" s="326"/>
    </row>
    <row r="1301" spans="1:25" x14ac:dyDescent="0.25">
      <c r="A1301" s="317" t="s">
        <v>486</v>
      </c>
      <c r="B1301" s="318"/>
      <c r="C1301" s="318"/>
      <c r="D1301" s="318"/>
      <c r="E1301" s="318"/>
      <c r="F1301" s="318"/>
      <c r="G1301" s="318"/>
      <c r="H1301" s="318"/>
      <c r="I1301" s="318"/>
      <c r="J1301" s="318"/>
      <c r="K1301" s="318"/>
      <c r="L1301" s="318"/>
      <c r="M1301" s="318"/>
      <c r="N1301" s="318"/>
      <c r="O1301" s="318"/>
      <c r="P1301" s="318"/>
      <c r="Q1301" s="318"/>
      <c r="R1301" s="318"/>
      <c r="S1301" s="318"/>
      <c r="T1301" s="318"/>
      <c r="U1301" s="318"/>
      <c r="V1301" s="318"/>
      <c r="W1301" s="318"/>
      <c r="X1301" s="318"/>
      <c r="Y1301" s="319"/>
    </row>
    <row r="1302" spans="1:25" x14ac:dyDescent="0.25">
      <c r="A1302" s="320"/>
      <c r="B1302" s="321"/>
      <c r="C1302" s="321"/>
      <c r="D1302" s="321"/>
      <c r="E1302" s="321"/>
      <c r="F1302" s="321"/>
      <c r="G1302" s="321"/>
      <c r="H1302" s="321"/>
      <c r="I1302" s="321"/>
      <c r="J1302" s="321"/>
      <c r="K1302" s="321"/>
      <c r="L1302" s="321"/>
      <c r="M1302" s="321"/>
      <c r="N1302" s="321"/>
      <c r="O1302" s="321"/>
      <c r="P1302" s="321"/>
      <c r="Q1302" s="321"/>
      <c r="R1302" s="321"/>
      <c r="S1302" s="321"/>
      <c r="T1302" s="321"/>
      <c r="U1302" s="321"/>
      <c r="V1302" s="321"/>
      <c r="W1302" s="321"/>
      <c r="X1302" s="321"/>
      <c r="Y1302" s="322"/>
    </row>
    <row r="1303" spans="1:25" x14ac:dyDescent="0.25">
      <c r="A1303" s="320"/>
      <c r="B1303" s="321"/>
      <c r="C1303" s="321"/>
      <c r="D1303" s="321"/>
      <c r="E1303" s="321"/>
      <c r="F1303" s="321"/>
      <c r="G1303" s="321"/>
      <c r="H1303" s="321"/>
      <c r="I1303" s="321"/>
      <c r="J1303" s="321"/>
      <c r="K1303" s="321"/>
      <c r="L1303" s="321"/>
      <c r="M1303" s="321"/>
      <c r="N1303" s="321"/>
      <c r="O1303" s="321"/>
      <c r="P1303" s="321"/>
      <c r="Q1303" s="321"/>
      <c r="R1303" s="321"/>
      <c r="S1303" s="321"/>
      <c r="T1303" s="321"/>
      <c r="U1303" s="321"/>
      <c r="V1303" s="321"/>
      <c r="W1303" s="321"/>
      <c r="X1303" s="321"/>
      <c r="Y1303" s="322"/>
    </row>
    <row r="1304" spans="1:25" x14ac:dyDescent="0.25">
      <c r="A1304" s="320"/>
      <c r="B1304" s="321"/>
      <c r="C1304" s="321"/>
      <c r="D1304" s="321"/>
      <c r="E1304" s="321"/>
      <c r="F1304" s="321"/>
      <c r="G1304" s="321"/>
      <c r="H1304" s="321"/>
      <c r="I1304" s="321"/>
      <c r="J1304" s="321"/>
      <c r="K1304" s="321"/>
      <c r="L1304" s="321"/>
      <c r="M1304" s="321"/>
      <c r="N1304" s="321"/>
      <c r="O1304" s="321"/>
      <c r="P1304" s="321"/>
      <c r="Q1304" s="321"/>
      <c r="R1304" s="321"/>
      <c r="S1304" s="321"/>
      <c r="T1304" s="321"/>
      <c r="U1304" s="321"/>
      <c r="V1304" s="321"/>
      <c r="W1304" s="321"/>
      <c r="X1304" s="321"/>
      <c r="Y1304" s="322"/>
    </row>
    <row r="1305" spans="1:25" x14ac:dyDescent="0.25">
      <c r="A1305" s="320"/>
      <c r="B1305" s="321"/>
      <c r="C1305" s="321"/>
      <c r="D1305" s="321"/>
      <c r="E1305" s="321"/>
      <c r="F1305" s="321"/>
      <c r="G1305" s="321"/>
      <c r="H1305" s="321"/>
      <c r="I1305" s="321"/>
      <c r="J1305" s="321"/>
      <c r="K1305" s="321"/>
      <c r="L1305" s="321"/>
      <c r="M1305" s="321"/>
      <c r="N1305" s="321"/>
      <c r="O1305" s="321"/>
      <c r="P1305" s="321"/>
      <c r="Q1305" s="321"/>
      <c r="R1305" s="321"/>
      <c r="S1305" s="321"/>
      <c r="T1305" s="321"/>
      <c r="U1305" s="321"/>
      <c r="V1305" s="321"/>
      <c r="W1305" s="321"/>
      <c r="X1305" s="321"/>
      <c r="Y1305" s="322"/>
    </row>
    <row r="1306" spans="1:25" x14ac:dyDescent="0.25">
      <c r="A1306" s="320"/>
      <c r="B1306" s="321"/>
      <c r="C1306" s="321"/>
      <c r="D1306" s="321"/>
      <c r="E1306" s="321"/>
      <c r="F1306" s="321"/>
      <c r="G1306" s="321"/>
      <c r="H1306" s="321"/>
      <c r="I1306" s="321"/>
      <c r="J1306" s="321"/>
      <c r="K1306" s="321"/>
      <c r="L1306" s="321"/>
      <c r="M1306" s="321"/>
      <c r="N1306" s="321"/>
      <c r="O1306" s="321"/>
      <c r="P1306" s="321"/>
      <c r="Q1306" s="321"/>
      <c r="R1306" s="321"/>
      <c r="S1306" s="321"/>
      <c r="T1306" s="321"/>
      <c r="U1306" s="321"/>
      <c r="V1306" s="321"/>
      <c r="W1306" s="321"/>
      <c r="X1306" s="321"/>
      <c r="Y1306" s="322"/>
    </row>
    <row r="1307" spans="1:25" ht="15.75" thickBot="1" x14ac:dyDescent="0.3">
      <c r="A1307" s="323"/>
      <c r="B1307" s="324"/>
      <c r="C1307" s="324"/>
      <c r="D1307" s="324"/>
      <c r="E1307" s="324"/>
      <c r="F1307" s="324"/>
      <c r="G1307" s="324"/>
      <c r="H1307" s="324"/>
      <c r="I1307" s="324"/>
      <c r="J1307" s="324"/>
      <c r="K1307" s="324"/>
      <c r="L1307" s="324"/>
      <c r="M1307" s="324"/>
      <c r="N1307" s="324"/>
      <c r="O1307" s="324"/>
      <c r="P1307" s="324"/>
      <c r="Q1307" s="324"/>
      <c r="R1307" s="324"/>
      <c r="S1307" s="324"/>
      <c r="T1307" s="324"/>
      <c r="U1307" s="324"/>
      <c r="V1307" s="324"/>
      <c r="W1307" s="324"/>
      <c r="X1307" s="324"/>
      <c r="Y1307" s="325"/>
    </row>
    <row r="1309" spans="1:25" ht="15.75" thickBot="1" x14ac:dyDescent="0.3">
      <c r="A1309" s="326" t="s">
        <v>27</v>
      </c>
      <c r="B1309" s="326"/>
      <c r="C1309" s="326"/>
      <c r="D1309" s="326"/>
      <c r="E1309" s="326"/>
      <c r="F1309" s="326"/>
      <c r="G1309" s="326"/>
      <c r="H1309" s="326"/>
    </row>
    <row r="1310" spans="1:25" ht="15.75" thickBot="1" x14ac:dyDescent="0.3">
      <c r="A1310" s="327" t="s">
        <v>262</v>
      </c>
      <c r="B1310" s="328"/>
      <c r="C1310" s="328"/>
      <c r="D1310" s="328"/>
      <c r="E1310" s="328"/>
      <c r="F1310" s="328"/>
      <c r="G1310" s="328"/>
      <c r="H1310" s="328"/>
      <c r="I1310" s="328"/>
      <c r="J1310" s="328"/>
      <c r="K1310" s="328"/>
      <c r="L1310" s="328"/>
      <c r="M1310" s="328"/>
      <c r="N1310" s="328"/>
      <c r="O1310" s="328"/>
      <c r="P1310" s="328"/>
      <c r="Q1310" s="328"/>
      <c r="R1310" s="328"/>
      <c r="S1310" s="328"/>
      <c r="T1310" s="328"/>
      <c r="U1310" s="328"/>
      <c r="V1310" s="328"/>
      <c r="W1310" s="328"/>
      <c r="X1310" s="328"/>
      <c r="Y1310" s="329"/>
    </row>
    <row r="1312" spans="1:25" ht="15.75" thickBot="1" x14ac:dyDescent="0.3">
      <c r="A1312" s="326" t="s">
        <v>121</v>
      </c>
      <c r="B1312" s="326"/>
      <c r="C1312" s="326"/>
      <c r="E1312" s="326" t="s">
        <v>122</v>
      </c>
      <c r="F1312" s="326"/>
      <c r="G1312" s="326"/>
    </row>
    <row r="1313" spans="1:25" ht="15.75" thickBot="1" x14ac:dyDescent="0.3">
      <c r="A1313" s="330" t="s">
        <v>66</v>
      </c>
      <c r="B1313" s="331"/>
      <c r="E1313" s="330" t="s">
        <v>66</v>
      </c>
      <c r="F1313" s="331"/>
    </row>
    <row r="1316" spans="1:25" ht="19.5" thickBot="1" x14ac:dyDescent="0.35">
      <c r="A1316" s="332" t="s">
        <v>491</v>
      </c>
      <c r="B1316" s="332"/>
      <c r="C1316" s="332"/>
      <c r="D1316" s="332"/>
      <c r="E1316" s="332"/>
      <c r="F1316" s="332"/>
      <c r="H1316" s="332" t="s">
        <v>492</v>
      </c>
      <c r="I1316" s="332"/>
      <c r="J1316" s="332"/>
    </row>
    <row r="1317" spans="1:25" x14ac:dyDescent="0.25">
      <c r="A1317" s="317" t="s">
        <v>495</v>
      </c>
      <c r="B1317" s="318"/>
      <c r="C1317" s="318"/>
      <c r="D1317" s="318"/>
      <c r="E1317" s="318"/>
      <c r="F1317" s="318"/>
      <c r="G1317" s="318"/>
      <c r="H1317" s="318"/>
      <c r="I1317" s="318"/>
      <c r="J1317" s="318"/>
      <c r="K1317" s="318"/>
      <c r="L1317" s="318"/>
      <c r="M1317" s="318"/>
      <c r="N1317" s="318"/>
      <c r="O1317" s="318"/>
      <c r="P1317" s="318"/>
      <c r="Q1317" s="318"/>
      <c r="R1317" s="318"/>
      <c r="S1317" s="318"/>
      <c r="T1317" s="318"/>
      <c r="U1317" s="318"/>
      <c r="V1317" s="318"/>
      <c r="W1317" s="318"/>
      <c r="X1317" s="318"/>
      <c r="Y1317" s="319"/>
    </row>
    <row r="1318" spans="1:25" x14ac:dyDescent="0.25">
      <c r="A1318" s="320"/>
      <c r="B1318" s="321"/>
      <c r="C1318" s="321"/>
      <c r="D1318" s="321"/>
      <c r="E1318" s="321"/>
      <c r="F1318" s="321"/>
      <c r="G1318" s="321"/>
      <c r="H1318" s="321"/>
      <c r="I1318" s="321"/>
      <c r="J1318" s="321"/>
      <c r="K1318" s="321"/>
      <c r="L1318" s="321"/>
      <c r="M1318" s="321"/>
      <c r="N1318" s="321"/>
      <c r="O1318" s="321"/>
      <c r="P1318" s="321"/>
      <c r="Q1318" s="321"/>
      <c r="R1318" s="321"/>
      <c r="S1318" s="321"/>
      <c r="T1318" s="321"/>
      <c r="U1318" s="321"/>
      <c r="V1318" s="321"/>
      <c r="W1318" s="321"/>
      <c r="X1318" s="321"/>
      <c r="Y1318" s="322"/>
    </row>
    <row r="1319" spans="1:25" x14ac:dyDescent="0.25">
      <c r="A1319" s="320"/>
      <c r="B1319" s="321"/>
      <c r="C1319" s="321"/>
      <c r="D1319" s="321"/>
      <c r="E1319" s="321"/>
      <c r="F1319" s="321"/>
      <c r="G1319" s="321"/>
      <c r="H1319" s="321"/>
      <c r="I1319" s="321"/>
      <c r="J1319" s="321"/>
      <c r="K1319" s="321"/>
      <c r="L1319" s="321"/>
      <c r="M1319" s="321"/>
      <c r="N1319" s="321"/>
      <c r="O1319" s="321"/>
      <c r="P1319" s="321"/>
      <c r="Q1319" s="321"/>
      <c r="R1319" s="321"/>
      <c r="S1319" s="321"/>
      <c r="T1319" s="321"/>
      <c r="U1319" s="321"/>
      <c r="V1319" s="321"/>
      <c r="W1319" s="321"/>
      <c r="X1319" s="321"/>
      <c r="Y1319" s="322"/>
    </row>
    <row r="1320" spans="1:25" x14ac:dyDescent="0.25">
      <c r="A1320" s="320"/>
      <c r="B1320" s="321"/>
      <c r="C1320" s="321"/>
      <c r="D1320" s="321"/>
      <c r="E1320" s="321"/>
      <c r="F1320" s="321"/>
      <c r="G1320" s="321"/>
      <c r="H1320" s="321"/>
      <c r="I1320" s="321"/>
      <c r="J1320" s="321"/>
      <c r="K1320" s="321"/>
      <c r="L1320" s="321"/>
      <c r="M1320" s="321"/>
      <c r="N1320" s="321"/>
      <c r="O1320" s="321"/>
      <c r="P1320" s="321"/>
      <c r="Q1320" s="321"/>
      <c r="R1320" s="321"/>
      <c r="S1320" s="321"/>
      <c r="T1320" s="321"/>
      <c r="U1320" s="321"/>
      <c r="V1320" s="321"/>
      <c r="W1320" s="321"/>
      <c r="X1320" s="321"/>
      <c r="Y1320" s="322"/>
    </row>
    <row r="1321" spans="1:25" x14ac:dyDescent="0.25">
      <c r="A1321" s="320"/>
      <c r="B1321" s="321"/>
      <c r="C1321" s="321"/>
      <c r="D1321" s="321"/>
      <c r="E1321" s="321"/>
      <c r="F1321" s="321"/>
      <c r="G1321" s="321"/>
      <c r="H1321" s="321"/>
      <c r="I1321" s="321"/>
      <c r="J1321" s="321"/>
      <c r="K1321" s="321"/>
      <c r="L1321" s="321"/>
      <c r="M1321" s="321"/>
      <c r="N1321" s="321"/>
      <c r="O1321" s="321"/>
      <c r="P1321" s="321"/>
      <c r="Q1321" s="321"/>
      <c r="R1321" s="321"/>
      <c r="S1321" s="321"/>
      <c r="T1321" s="321"/>
      <c r="U1321" s="321"/>
      <c r="V1321" s="321"/>
      <c r="W1321" s="321"/>
      <c r="X1321" s="321"/>
      <c r="Y1321" s="322"/>
    </row>
    <row r="1322" spans="1:25" x14ac:dyDescent="0.25">
      <c r="A1322" s="320"/>
      <c r="B1322" s="321"/>
      <c r="C1322" s="321"/>
      <c r="D1322" s="321"/>
      <c r="E1322" s="321"/>
      <c r="F1322" s="321"/>
      <c r="G1322" s="321"/>
      <c r="H1322" s="321"/>
      <c r="I1322" s="321"/>
      <c r="J1322" s="321"/>
      <c r="K1322" s="321"/>
      <c r="L1322" s="321"/>
      <c r="M1322" s="321"/>
      <c r="N1322" s="321"/>
      <c r="O1322" s="321"/>
      <c r="P1322" s="321"/>
      <c r="Q1322" s="321"/>
      <c r="R1322" s="321"/>
      <c r="S1322" s="321"/>
      <c r="T1322" s="321"/>
      <c r="U1322" s="321"/>
      <c r="V1322" s="321"/>
      <c r="W1322" s="321"/>
      <c r="X1322" s="321"/>
      <c r="Y1322" s="322"/>
    </row>
    <row r="1323" spans="1:25" x14ac:dyDescent="0.25">
      <c r="A1323" s="320"/>
      <c r="B1323" s="321"/>
      <c r="C1323" s="321"/>
      <c r="D1323" s="321"/>
      <c r="E1323" s="321"/>
      <c r="F1323" s="321"/>
      <c r="G1323" s="321"/>
      <c r="H1323" s="321"/>
      <c r="I1323" s="321"/>
      <c r="J1323" s="321"/>
      <c r="K1323" s="321"/>
      <c r="L1323" s="321"/>
      <c r="M1323" s="321"/>
      <c r="N1323" s="321"/>
      <c r="O1323" s="321"/>
      <c r="P1323" s="321"/>
      <c r="Q1323" s="321"/>
      <c r="R1323" s="321"/>
      <c r="S1323" s="321"/>
      <c r="T1323" s="321"/>
      <c r="U1323" s="321"/>
      <c r="V1323" s="321"/>
      <c r="W1323" s="321"/>
      <c r="X1323" s="321"/>
      <c r="Y1323" s="322"/>
    </row>
    <row r="1324" spans="1:25" x14ac:dyDescent="0.25">
      <c r="A1324" s="320"/>
      <c r="B1324" s="321"/>
      <c r="C1324" s="321"/>
      <c r="D1324" s="321"/>
      <c r="E1324" s="321"/>
      <c r="F1324" s="321"/>
      <c r="G1324" s="321"/>
      <c r="H1324" s="321"/>
      <c r="I1324" s="321"/>
      <c r="J1324" s="321"/>
      <c r="K1324" s="321"/>
      <c r="L1324" s="321"/>
      <c r="M1324" s="321"/>
      <c r="N1324" s="321"/>
      <c r="O1324" s="321"/>
      <c r="P1324" s="321"/>
      <c r="Q1324" s="321"/>
      <c r="R1324" s="321"/>
      <c r="S1324" s="321"/>
      <c r="T1324" s="321"/>
      <c r="U1324" s="321"/>
      <c r="V1324" s="321"/>
      <c r="W1324" s="321"/>
      <c r="X1324" s="321"/>
      <c r="Y1324" s="322"/>
    </row>
    <row r="1325" spans="1:25" x14ac:dyDescent="0.25">
      <c r="A1325" s="320"/>
      <c r="B1325" s="321"/>
      <c r="C1325" s="321"/>
      <c r="D1325" s="321"/>
      <c r="E1325" s="321"/>
      <c r="F1325" s="321"/>
      <c r="G1325" s="321"/>
      <c r="H1325" s="321"/>
      <c r="I1325" s="321"/>
      <c r="J1325" s="321"/>
      <c r="K1325" s="321"/>
      <c r="L1325" s="321"/>
      <c r="M1325" s="321"/>
      <c r="N1325" s="321"/>
      <c r="O1325" s="321"/>
      <c r="P1325" s="321"/>
      <c r="Q1325" s="321"/>
      <c r="R1325" s="321"/>
      <c r="S1325" s="321"/>
      <c r="T1325" s="321"/>
      <c r="U1325" s="321"/>
      <c r="V1325" s="321"/>
      <c r="W1325" s="321"/>
      <c r="X1325" s="321"/>
      <c r="Y1325" s="322"/>
    </row>
    <row r="1326" spans="1:25" x14ac:dyDescent="0.25">
      <c r="A1326" s="320"/>
      <c r="B1326" s="321"/>
      <c r="C1326" s="321"/>
      <c r="D1326" s="321"/>
      <c r="E1326" s="321"/>
      <c r="F1326" s="321"/>
      <c r="G1326" s="321"/>
      <c r="H1326" s="321"/>
      <c r="I1326" s="321"/>
      <c r="J1326" s="321"/>
      <c r="K1326" s="321"/>
      <c r="L1326" s="321"/>
      <c r="M1326" s="321"/>
      <c r="N1326" s="321"/>
      <c r="O1326" s="321"/>
      <c r="P1326" s="321"/>
      <c r="Q1326" s="321"/>
      <c r="R1326" s="321"/>
      <c r="S1326" s="321"/>
      <c r="T1326" s="321"/>
      <c r="U1326" s="321"/>
      <c r="V1326" s="321"/>
      <c r="W1326" s="321"/>
      <c r="X1326" s="321"/>
      <c r="Y1326" s="322"/>
    </row>
    <row r="1327" spans="1:25" x14ac:dyDescent="0.25">
      <c r="A1327" s="320"/>
      <c r="B1327" s="321"/>
      <c r="C1327" s="321"/>
      <c r="D1327" s="321"/>
      <c r="E1327" s="321"/>
      <c r="F1327" s="321"/>
      <c r="G1327" s="321"/>
      <c r="H1327" s="321"/>
      <c r="I1327" s="321"/>
      <c r="J1327" s="321"/>
      <c r="K1327" s="321"/>
      <c r="L1327" s="321"/>
      <c r="M1327" s="321"/>
      <c r="N1327" s="321"/>
      <c r="O1327" s="321"/>
      <c r="P1327" s="321"/>
      <c r="Q1327" s="321"/>
      <c r="R1327" s="321"/>
      <c r="S1327" s="321"/>
      <c r="T1327" s="321"/>
      <c r="U1327" s="321"/>
      <c r="V1327" s="321"/>
      <c r="W1327" s="321"/>
      <c r="X1327" s="321"/>
      <c r="Y1327" s="322"/>
    </row>
    <row r="1328" spans="1:25" x14ac:dyDescent="0.25">
      <c r="A1328" s="320"/>
      <c r="B1328" s="321"/>
      <c r="C1328" s="321"/>
      <c r="D1328" s="321"/>
      <c r="E1328" s="321"/>
      <c r="F1328" s="321"/>
      <c r="G1328" s="321"/>
      <c r="H1328" s="321"/>
      <c r="I1328" s="321"/>
      <c r="J1328" s="321"/>
      <c r="K1328" s="321"/>
      <c r="L1328" s="321"/>
      <c r="M1328" s="321"/>
      <c r="N1328" s="321"/>
      <c r="O1328" s="321"/>
      <c r="P1328" s="321"/>
      <c r="Q1328" s="321"/>
      <c r="R1328" s="321"/>
      <c r="S1328" s="321"/>
      <c r="T1328" s="321"/>
      <c r="U1328" s="321"/>
      <c r="V1328" s="321"/>
      <c r="W1328" s="321"/>
      <c r="X1328" s="321"/>
      <c r="Y1328" s="322"/>
    </row>
    <row r="1329" spans="1:25" x14ac:dyDescent="0.25">
      <c r="A1329" s="320"/>
      <c r="B1329" s="321"/>
      <c r="C1329" s="321"/>
      <c r="D1329" s="321"/>
      <c r="E1329" s="321"/>
      <c r="F1329" s="321"/>
      <c r="G1329" s="321"/>
      <c r="H1329" s="321"/>
      <c r="I1329" s="321"/>
      <c r="J1329" s="321"/>
      <c r="K1329" s="321"/>
      <c r="L1329" s="321"/>
      <c r="M1329" s="321"/>
      <c r="N1329" s="321"/>
      <c r="O1329" s="321"/>
      <c r="P1329" s="321"/>
      <c r="Q1329" s="321"/>
      <c r="R1329" s="321"/>
      <c r="S1329" s="321"/>
      <c r="T1329" s="321"/>
      <c r="U1329" s="321"/>
      <c r="V1329" s="321"/>
      <c r="W1329" s="321"/>
      <c r="X1329" s="321"/>
      <c r="Y1329" s="322"/>
    </row>
    <row r="1330" spans="1:25" ht="15.75" thickBot="1" x14ac:dyDescent="0.3">
      <c r="A1330" s="323"/>
      <c r="B1330" s="324"/>
      <c r="C1330" s="324"/>
      <c r="D1330" s="324"/>
      <c r="E1330" s="324"/>
      <c r="F1330" s="324"/>
      <c r="G1330" s="324"/>
      <c r="H1330" s="324"/>
      <c r="I1330" s="324"/>
      <c r="J1330" s="324"/>
      <c r="K1330" s="324"/>
      <c r="L1330" s="324"/>
      <c r="M1330" s="324"/>
      <c r="N1330" s="324"/>
      <c r="O1330" s="324"/>
      <c r="P1330" s="324"/>
      <c r="Q1330" s="324"/>
      <c r="R1330" s="324"/>
      <c r="S1330" s="324"/>
      <c r="T1330" s="324"/>
      <c r="U1330" s="324"/>
      <c r="V1330" s="324"/>
      <c r="W1330" s="324"/>
      <c r="X1330" s="324"/>
      <c r="Y1330" s="325"/>
    </row>
    <row r="1332" spans="1:25" ht="15.75" thickBot="1" x14ac:dyDescent="0.3">
      <c r="A1332" s="326" t="s">
        <v>29</v>
      </c>
      <c r="B1332" s="326"/>
      <c r="C1332" s="326"/>
      <c r="D1332" s="326"/>
    </row>
    <row r="1333" spans="1:25" x14ac:dyDescent="0.25">
      <c r="A1333" s="317" t="s">
        <v>493</v>
      </c>
      <c r="B1333" s="318"/>
      <c r="C1333" s="318"/>
      <c r="D1333" s="318"/>
      <c r="E1333" s="318"/>
      <c r="F1333" s="318"/>
      <c r="G1333" s="318"/>
      <c r="H1333" s="318"/>
      <c r="I1333" s="318"/>
      <c r="J1333" s="318"/>
      <c r="K1333" s="318"/>
      <c r="L1333" s="318"/>
      <c r="M1333" s="318"/>
      <c r="N1333" s="318"/>
      <c r="O1333" s="318"/>
      <c r="P1333" s="318"/>
      <c r="Q1333" s="318"/>
      <c r="R1333" s="318"/>
      <c r="S1333" s="318"/>
      <c r="T1333" s="318"/>
      <c r="U1333" s="318"/>
      <c r="V1333" s="318"/>
      <c r="W1333" s="318"/>
      <c r="X1333" s="318"/>
      <c r="Y1333" s="319"/>
    </row>
    <row r="1334" spans="1:25" x14ac:dyDescent="0.25">
      <c r="A1334" s="320"/>
      <c r="B1334" s="321"/>
      <c r="C1334" s="321"/>
      <c r="D1334" s="321"/>
      <c r="E1334" s="321"/>
      <c r="F1334" s="321"/>
      <c r="G1334" s="321"/>
      <c r="H1334" s="321"/>
      <c r="I1334" s="321"/>
      <c r="J1334" s="321"/>
      <c r="K1334" s="321"/>
      <c r="L1334" s="321"/>
      <c r="M1334" s="321"/>
      <c r="N1334" s="321"/>
      <c r="O1334" s="321"/>
      <c r="P1334" s="321"/>
      <c r="Q1334" s="321"/>
      <c r="R1334" s="321"/>
      <c r="S1334" s="321"/>
      <c r="T1334" s="321"/>
      <c r="U1334" s="321"/>
      <c r="V1334" s="321"/>
      <c r="W1334" s="321"/>
      <c r="X1334" s="321"/>
      <c r="Y1334" s="322"/>
    </row>
    <row r="1335" spans="1:25" x14ac:dyDescent="0.25">
      <c r="A1335" s="320"/>
      <c r="B1335" s="321"/>
      <c r="C1335" s="321"/>
      <c r="D1335" s="321"/>
      <c r="E1335" s="321"/>
      <c r="F1335" s="321"/>
      <c r="G1335" s="321"/>
      <c r="H1335" s="321"/>
      <c r="I1335" s="321"/>
      <c r="J1335" s="321"/>
      <c r="K1335" s="321"/>
      <c r="L1335" s="321"/>
      <c r="M1335" s="321"/>
      <c r="N1335" s="321"/>
      <c r="O1335" s="321"/>
      <c r="P1335" s="321"/>
      <c r="Q1335" s="321"/>
      <c r="R1335" s="321"/>
      <c r="S1335" s="321"/>
      <c r="T1335" s="321"/>
      <c r="U1335" s="321"/>
      <c r="V1335" s="321"/>
      <c r="W1335" s="321"/>
      <c r="X1335" s="321"/>
      <c r="Y1335" s="322"/>
    </row>
    <row r="1336" spans="1:25" x14ac:dyDescent="0.25">
      <c r="A1336" s="320"/>
      <c r="B1336" s="321"/>
      <c r="C1336" s="321"/>
      <c r="D1336" s="321"/>
      <c r="E1336" s="321"/>
      <c r="F1336" s="321"/>
      <c r="G1336" s="321"/>
      <c r="H1336" s="321"/>
      <c r="I1336" s="321"/>
      <c r="J1336" s="321"/>
      <c r="K1336" s="321"/>
      <c r="L1336" s="321"/>
      <c r="M1336" s="321"/>
      <c r="N1336" s="321"/>
      <c r="O1336" s="321"/>
      <c r="P1336" s="321"/>
      <c r="Q1336" s="321"/>
      <c r="R1336" s="321"/>
      <c r="S1336" s="321"/>
      <c r="T1336" s="321"/>
      <c r="U1336" s="321"/>
      <c r="V1336" s="321"/>
      <c r="W1336" s="321"/>
      <c r="X1336" s="321"/>
      <c r="Y1336" s="322"/>
    </row>
    <row r="1337" spans="1:25" x14ac:dyDescent="0.25">
      <c r="A1337" s="320"/>
      <c r="B1337" s="321"/>
      <c r="C1337" s="321"/>
      <c r="D1337" s="321"/>
      <c r="E1337" s="321"/>
      <c r="F1337" s="321"/>
      <c r="G1337" s="321"/>
      <c r="H1337" s="321"/>
      <c r="I1337" s="321"/>
      <c r="J1337" s="321"/>
      <c r="K1337" s="321"/>
      <c r="L1337" s="321"/>
      <c r="M1337" s="321"/>
      <c r="N1337" s="321"/>
      <c r="O1337" s="321"/>
      <c r="P1337" s="321"/>
      <c r="Q1337" s="321"/>
      <c r="R1337" s="321"/>
      <c r="S1337" s="321"/>
      <c r="T1337" s="321"/>
      <c r="U1337" s="321"/>
      <c r="V1337" s="321"/>
      <c r="W1337" s="321"/>
      <c r="X1337" s="321"/>
      <c r="Y1337" s="322"/>
    </row>
    <row r="1338" spans="1:25" x14ac:dyDescent="0.25">
      <c r="A1338" s="320"/>
      <c r="B1338" s="321"/>
      <c r="C1338" s="321"/>
      <c r="D1338" s="321"/>
      <c r="E1338" s="321"/>
      <c r="F1338" s="321"/>
      <c r="G1338" s="321"/>
      <c r="H1338" s="321"/>
      <c r="I1338" s="321"/>
      <c r="J1338" s="321"/>
      <c r="K1338" s="321"/>
      <c r="L1338" s="321"/>
      <c r="M1338" s="321"/>
      <c r="N1338" s="321"/>
      <c r="O1338" s="321"/>
      <c r="P1338" s="321"/>
      <c r="Q1338" s="321"/>
      <c r="R1338" s="321"/>
      <c r="S1338" s="321"/>
      <c r="T1338" s="321"/>
      <c r="U1338" s="321"/>
      <c r="V1338" s="321"/>
      <c r="W1338" s="321"/>
      <c r="X1338" s="321"/>
      <c r="Y1338" s="322"/>
    </row>
    <row r="1339" spans="1:25" ht="15.75" thickBot="1" x14ac:dyDescent="0.3">
      <c r="A1339" s="323"/>
      <c r="B1339" s="324"/>
      <c r="C1339" s="324"/>
      <c r="D1339" s="324"/>
      <c r="E1339" s="324"/>
      <c r="F1339" s="324"/>
      <c r="G1339" s="324"/>
      <c r="H1339" s="324"/>
      <c r="I1339" s="324"/>
      <c r="J1339" s="324"/>
      <c r="K1339" s="324"/>
      <c r="L1339" s="324"/>
      <c r="M1339" s="324"/>
      <c r="N1339" s="324"/>
      <c r="O1339" s="324"/>
      <c r="P1339" s="324"/>
      <c r="Q1339" s="324"/>
      <c r="R1339" s="324"/>
      <c r="S1339" s="324"/>
      <c r="T1339" s="324"/>
      <c r="U1339" s="324"/>
      <c r="V1339" s="324"/>
      <c r="W1339" s="324"/>
      <c r="X1339" s="324"/>
      <c r="Y1339" s="325"/>
    </row>
    <row r="1341" spans="1:25" ht="15.75" thickBot="1" x14ac:dyDescent="0.3">
      <c r="A1341" s="326" t="s">
        <v>27</v>
      </c>
      <c r="B1341" s="326"/>
      <c r="C1341" s="326"/>
      <c r="D1341" s="326"/>
      <c r="E1341" s="326"/>
      <c r="F1341" s="326"/>
      <c r="G1341" s="326"/>
      <c r="H1341" s="326"/>
    </row>
    <row r="1342" spans="1:25" ht="15.75" thickBot="1" x14ac:dyDescent="0.3">
      <c r="A1342" s="327" t="s">
        <v>494</v>
      </c>
      <c r="B1342" s="328"/>
      <c r="C1342" s="328"/>
      <c r="D1342" s="328"/>
      <c r="E1342" s="328"/>
      <c r="F1342" s="328"/>
      <c r="G1342" s="328"/>
      <c r="H1342" s="328"/>
      <c r="I1342" s="328"/>
      <c r="J1342" s="328"/>
      <c r="K1342" s="328"/>
      <c r="L1342" s="328"/>
      <c r="M1342" s="328"/>
      <c r="N1342" s="328"/>
      <c r="O1342" s="328"/>
      <c r="P1342" s="328"/>
      <c r="Q1342" s="328"/>
      <c r="R1342" s="328"/>
      <c r="S1342" s="328"/>
      <c r="T1342" s="328"/>
      <c r="U1342" s="328"/>
      <c r="V1342" s="328"/>
      <c r="W1342" s="328"/>
      <c r="X1342" s="328"/>
      <c r="Y1342" s="329"/>
    </row>
    <row r="1344" spans="1:25" ht="15.75" thickBot="1" x14ac:dyDescent="0.3">
      <c r="A1344" s="326" t="s">
        <v>121</v>
      </c>
      <c r="B1344" s="326"/>
      <c r="C1344" s="326"/>
      <c r="E1344" s="326" t="s">
        <v>122</v>
      </c>
      <c r="F1344" s="326"/>
      <c r="G1344" s="326"/>
    </row>
    <row r="1345" spans="1:25" ht="15.75" thickBot="1" x14ac:dyDescent="0.3">
      <c r="A1345" s="330" t="s">
        <v>64</v>
      </c>
      <c r="B1345" s="331"/>
      <c r="E1345" s="330" t="s">
        <v>66</v>
      </c>
      <c r="F1345" s="331"/>
    </row>
    <row r="1347" spans="1:25" ht="19.5" thickBot="1" x14ac:dyDescent="0.35">
      <c r="A1347" s="332" t="s">
        <v>498</v>
      </c>
      <c r="B1347" s="332"/>
      <c r="C1347" s="332"/>
      <c r="D1347" s="332"/>
      <c r="E1347" s="332"/>
      <c r="F1347" s="332"/>
      <c r="H1347" s="332" t="s">
        <v>501</v>
      </c>
      <c r="I1347" s="332"/>
      <c r="J1347" s="332"/>
    </row>
    <row r="1348" spans="1:25" x14ac:dyDescent="0.25">
      <c r="A1348" s="317" t="s">
        <v>500</v>
      </c>
      <c r="B1348" s="318"/>
      <c r="C1348" s="318"/>
      <c r="D1348" s="318"/>
      <c r="E1348" s="318"/>
      <c r="F1348" s="318"/>
      <c r="G1348" s="318"/>
      <c r="H1348" s="318"/>
      <c r="I1348" s="318"/>
      <c r="J1348" s="318"/>
      <c r="K1348" s="318"/>
      <c r="L1348" s="318"/>
      <c r="M1348" s="318"/>
      <c r="N1348" s="318"/>
      <c r="O1348" s="318"/>
      <c r="P1348" s="318"/>
      <c r="Q1348" s="318"/>
      <c r="R1348" s="318"/>
      <c r="S1348" s="318"/>
      <c r="T1348" s="318"/>
      <c r="U1348" s="318"/>
      <c r="V1348" s="318"/>
      <c r="W1348" s="318"/>
      <c r="X1348" s="318"/>
      <c r="Y1348" s="319"/>
    </row>
    <row r="1349" spans="1:25" x14ac:dyDescent="0.25">
      <c r="A1349" s="320"/>
      <c r="B1349" s="321"/>
      <c r="C1349" s="321"/>
      <c r="D1349" s="321"/>
      <c r="E1349" s="321"/>
      <c r="F1349" s="321"/>
      <c r="G1349" s="321"/>
      <c r="H1349" s="321"/>
      <c r="I1349" s="321"/>
      <c r="J1349" s="321"/>
      <c r="K1349" s="321"/>
      <c r="L1349" s="321"/>
      <c r="M1349" s="321"/>
      <c r="N1349" s="321"/>
      <c r="O1349" s="321"/>
      <c r="P1349" s="321"/>
      <c r="Q1349" s="321"/>
      <c r="R1349" s="321"/>
      <c r="S1349" s="321"/>
      <c r="T1349" s="321"/>
      <c r="U1349" s="321"/>
      <c r="V1349" s="321"/>
      <c r="W1349" s="321"/>
      <c r="X1349" s="321"/>
      <c r="Y1349" s="322"/>
    </row>
    <row r="1350" spans="1:25" x14ac:dyDescent="0.25">
      <c r="A1350" s="320"/>
      <c r="B1350" s="321"/>
      <c r="C1350" s="321"/>
      <c r="D1350" s="321"/>
      <c r="E1350" s="321"/>
      <c r="F1350" s="321"/>
      <c r="G1350" s="321"/>
      <c r="H1350" s="321"/>
      <c r="I1350" s="321"/>
      <c r="J1350" s="321"/>
      <c r="K1350" s="321"/>
      <c r="L1350" s="321"/>
      <c r="M1350" s="321"/>
      <c r="N1350" s="321"/>
      <c r="O1350" s="321"/>
      <c r="P1350" s="321"/>
      <c r="Q1350" s="321"/>
      <c r="R1350" s="321"/>
      <c r="S1350" s="321"/>
      <c r="T1350" s="321"/>
      <c r="U1350" s="321"/>
      <c r="V1350" s="321"/>
      <c r="W1350" s="321"/>
      <c r="X1350" s="321"/>
      <c r="Y1350" s="322"/>
    </row>
    <row r="1351" spans="1:25" x14ac:dyDescent="0.25">
      <c r="A1351" s="320"/>
      <c r="B1351" s="321"/>
      <c r="C1351" s="321"/>
      <c r="D1351" s="321"/>
      <c r="E1351" s="321"/>
      <c r="F1351" s="321"/>
      <c r="G1351" s="321"/>
      <c r="H1351" s="321"/>
      <c r="I1351" s="321"/>
      <c r="J1351" s="321"/>
      <c r="K1351" s="321"/>
      <c r="L1351" s="321"/>
      <c r="M1351" s="321"/>
      <c r="N1351" s="321"/>
      <c r="O1351" s="321"/>
      <c r="P1351" s="321"/>
      <c r="Q1351" s="321"/>
      <c r="R1351" s="321"/>
      <c r="S1351" s="321"/>
      <c r="T1351" s="321"/>
      <c r="U1351" s="321"/>
      <c r="V1351" s="321"/>
      <c r="W1351" s="321"/>
      <c r="X1351" s="321"/>
      <c r="Y1351" s="322"/>
    </row>
    <row r="1352" spans="1:25" x14ac:dyDescent="0.25">
      <c r="A1352" s="320"/>
      <c r="B1352" s="321"/>
      <c r="C1352" s="321"/>
      <c r="D1352" s="321"/>
      <c r="E1352" s="321"/>
      <c r="F1352" s="321"/>
      <c r="G1352" s="321"/>
      <c r="H1352" s="321"/>
      <c r="I1352" s="321"/>
      <c r="J1352" s="321"/>
      <c r="K1352" s="321"/>
      <c r="L1352" s="321"/>
      <c r="M1352" s="321"/>
      <c r="N1352" s="321"/>
      <c r="O1352" s="321"/>
      <c r="P1352" s="321"/>
      <c r="Q1352" s="321"/>
      <c r="R1352" s="321"/>
      <c r="S1352" s="321"/>
      <c r="T1352" s="321"/>
      <c r="U1352" s="321"/>
      <c r="V1352" s="321"/>
      <c r="W1352" s="321"/>
      <c r="X1352" s="321"/>
      <c r="Y1352" s="322"/>
    </row>
    <row r="1353" spans="1:25" x14ac:dyDescent="0.25">
      <c r="A1353" s="320"/>
      <c r="B1353" s="321"/>
      <c r="C1353" s="321"/>
      <c r="D1353" s="321"/>
      <c r="E1353" s="321"/>
      <c r="F1353" s="321"/>
      <c r="G1353" s="321"/>
      <c r="H1353" s="321"/>
      <c r="I1353" s="321"/>
      <c r="J1353" s="321"/>
      <c r="K1353" s="321"/>
      <c r="L1353" s="321"/>
      <c r="M1353" s="321"/>
      <c r="N1353" s="321"/>
      <c r="O1353" s="321"/>
      <c r="P1353" s="321"/>
      <c r="Q1353" s="321"/>
      <c r="R1353" s="321"/>
      <c r="S1353" s="321"/>
      <c r="T1353" s="321"/>
      <c r="U1353" s="321"/>
      <c r="V1353" s="321"/>
      <c r="W1353" s="321"/>
      <c r="X1353" s="321"/>
      <c r="Y1353" s="322"/>
    </row>
    <row r="1354" spans="1:25" x14ac:dyDescent="0.25">
      <c r="A1354" s="320"/>
      <c r="B1354" s="321"/>
      <c r="C1354" s="321"/>
      <c r="D1354" s="321"/>
      <c r="E1354" s="321"/>
      <c r="F1354" s="321"/>
      <c r="G1354" s="321"/>
      <c r="H1354" s="321"/>
      <c r="I1354" s="321"/>
      <c r="J1354" s="321"/>
      <c r="K1354" s="321"/>
      <c r="L1354" s="321"/>
      <c r="M1354" s="321"/>
      <c r="N1354" s="321"/>
      <c r="O1354" s="321"/>
      <c r="P1354" s="321"/>
      <c r="Q1354" s="321"/>
      <c r="R1354" s="321"/>
      <c r="S1354" s="321"/>
      <c r="T1354" s="321"/>
      <c r="U1354" s="321"/>
      <c r="V1354" s="321"/>
      <c r="W1354" s="321"/>
      <c r="X1354" s="321"/>
      <c r="Y1354" s="322"/>
    </row>
    <row r="1355" spans="1:25" x14ac:dyDescent="0.25">
      <c r="A1355" s="320"/>
      <c r="B1355" s="321"/>
      <c r="C1355" s="321"/>
      <c r="D1355" s="321"/>
      <c r="E1355" s="321"/>
      <c r="F1355" s="321"/>
      <c r="G1355" s="321"/>
      <c r="H1355" s="321"/>
      <c r="I1355" s="321"/>
      <c r="J1355" s="321"/>
      <c r="K1355" s="321"/>
      <c r="L1355" s="321"/>
      <c r="M1355" s="321"/>
      <c r="N1355" s="321"/>
      <c r="O1355" s="321"/>
      <c r="P1355" s="321"/>
      <c r="Q1355" s="321"/>
      <c r="R1355" s="321"/>
      <c r="S1355" s="321"/>
      <c r="T1355" s="321"/>
      <c r="U1355" s="321"/>
      <c r="V1355" s="321"/>
      <c r="W1355" s="321"/>
      <c r="X1355" s="321"/>
      <c r="Y1355" s="322"/>
    </row>
    <row r="1356" spans="1:25" x14ac:dyDescent="0.25">
      <c r="A1356" s="320"/>
      <c r="B1356" s="321"/>
      <c r="C1356" s="321"/>
      <c r="D1356" s="321"/>
      <c r="E1356" s="321"/>
      <c r="F1356" s="321"/>
      <c r="G1356" s="321"/>
      <c r="H1356" s="321"/>
      <c r="I1356" s="321"/>
      <c r="J1356" s="321"/>
      <c r="K1356" s="321"/>
      <c r="L1356" s="321"/>
      <c r="M1356" s="321"/>
      <c r="N1356" s="321"/>
      <c r="O1356" s="321"/>
      <c r="P1356" s="321"/>
      <c r="Q1356" s="321"/>
      <c r="R1356" s="321"/>
      <c r="S1356" s="321"/>
      <c r="T1356" s="321"/>
      <c r="U1356" s="321"/>
      <c r="V1356" s="321"/>
      <c r="W1356" s="321"/>
      <c r="X1356" s="321"/>
      <c r="Y1356" s="322"/>
    </row>
    <row r="1357" spans="1:25" x14ac:dyDescent="0.25">
      <c r="A1357" s="320"/>
      <c r="B1357" s="321"/>
      <c r="C1357" s="321"/>
      <c r="D1357" s="321"/>
      <c r="E1357" s="321"/>
      <c r="F1357" s="321"/>
      <c r="G1357" s="321"/>
      <c r="H1357" s="321"/>
      <c r="I1357" s="321"/>
      <c r="J1357" s="321"/>
      <c r="K1357" s="321"/>
      <c r="L1357" s="321"/>
      <c r="M1357" s="321"/>
      <c r="N1357" s="321"/>
      <c r="O1357" s="321"/>
      <c r="P1357" s="321"/>
      <c r="Q1357" s="321"/>
      <c r="R1357" s="321"/>
      <c r="S1357" s="321"/>
      <c r="T1357" s="321"/>
      <c r="U1357" s="321"/>
      <c r="V1357" s="321"/>
      <c r="W1357" s="321"/>
      <c r="X1357" s="321"/>
      <c r="Y1357" s="322"/>
    </row>
    <row r="1358" spans="1:25" x14ac:dyDescent="0.25">
      <c r="A1358" s="320"/>
      <c r="B1358" s="321"/>
      <c r="C1358" s="321"/>
      <c r="D1358" s="321"/>
      <c r="E1358" s="321"/>
      <c r="F1358" s="321"/>
      <c r="G1358" s="321"/>
      <c r="H1358" s="321"/>
      <c r="I1358" s="321"/>
      <c r="J1358" s="321"/>
      <c r="K1358" s="321"/>
      <c r="L1358" s="321"/>
      <c r="M1358" s="321"/>
      <c r="N1358" s="321"/>
      <c r="O1358" s="321"/>
      <c r="P1358" s="321"/>
      <c r="Q1358" s="321"/>
      <c r="R1358" s="321"/>
      <c r="S1358" s="321"/>
      <c r="T1358" s="321"/>
      <c r="U1358" s="321"/>
      <c r="V1358" s="321"/>
      <c r="W1358" s="321"/>
      <c r="X1358" s="321"/>
      <c r="Y1358" s="322"/>
    </row>
    <row r="1359" spans="1:25" x14ac:dyDescent="0.25">
      <c r="A1359" s="320"/>
      <c r="B1359" s="321"/>
      <c r="C1359" s="321"/>
      <c r="D1359" s="321"/>
      <c r="E1359" s="321"/>
      <c r="F1359" s="321"/>
      <c r="G1359" s="321"/>
      <c r="H1359" s="321"/>
      <c r="I1359" s="321"/>
      <c r="J1359" s="321"/>
      <c r="K1359" s="321"/>
      <c r="L1359" s="321"/>
      <c r="M1359" s="321"/>
      <c r="N1359" s="321"/>
      <c r="O1359" s="321"/>
      <c r="P1359" s="321"/>
      <c r="Q1359" s="321"/>
      <c r="R1359" s="321"/>
      <c r="S1359" s="321"/>
      <c r="T1359" s="321"/>
      <c r="U1359" s="321"/>
      <c r="V1359" s="321"/>
      <c r="W1359" s="321"/>
      <c r="X1359" s="321"/>
      <c r="Y1359" s="322"/>
    </row>
    <row r="1360" spans="1:25" x14ac:dyDescent="0.25">
      <c r="A1360" s="320"/>
      <c r="B1360" s="321"/>
      <c r="C1360" s="321"/>
      <c r="D1360" s="321"/>
      <c r="E1360" s="321"/>
      <c r="F1360" s="321"/>
      <c r="G1360" s="321"/>
      <c r="H1360" s="321"/>
      <c r="I1360" s="321"/>
      <c r="J1360" s="321"/>
      <c r="K1360" s="321"/>
      <c r="L1360" s="321"/>
      <c r="M1360" s="321"/>
      <c r="N1360" s="321"/>
      <c r="O1360" s="321"/>
      <c r="P1360" s="321"/>
      <c r="Q1360" s="321"/>
      <c r="R1360" s="321"/>
      <c r="S1360" s="321"/>
      <c r="T1360" s="321"/>
      <c r="U1360" s="321"/>
      <c r="V1360" s="321"/>
      <c r="W1360" s="321"/>
      <c r="X1360" s="321"/>
      <c r="Y1360" s="322"/>
    </row>
    <row r="1361" spans="1:25" ht="15.75" thickBot="1" x14ac:dyDescent="0.3">
      <c r="A1361" s="323"/>
      <c r="B1361" s="324"/>
      <c r="C1361" s="324"/>
      <c r="D1361" s="324"/>
      <c r="E1361" s="324"/>
      <c r="F1361" s="324"/>
      <c r="G1361" s="324"/>
      <c r="H1361" s="324"/>
      <c r="I1361" s="324"/>
      <c r="J1361" s="324"/>
      <c r="K1361" s="324"/>
      <c r="L1361" s="324"/>
      <c r="M1361" s="324"/>
      <c r="N1361" s="324"/>
      <c r="O1361" s="324"/>
      <c r="P1361" s="324"/>
      <c r="Q1361" s="324"/>
      <c r="R1361" s="324"/>
      <c r="S1361" s="324"/>
      <c r="T1361" s="324"/>
      <c r="U1361" s="324"/>
      <c r="V1361" s="324"/>
      <c r="W1361" s="324"/>
      <c r="X1361" s="324"/>
      <c r="Y1361" s="325"/>
    </row>
    <row r="1363" spans="1:25" ht="15.75" thickBot="1" x14ac:dyDescent="0.3">
      <c r="A1363" s="326" t="s">
        <v>29</v>
      </c>
      <c r="B1363" s="326"/>
      <c r="C1363" s="326"/>
      <c r="D1363" s="326"/>
    </row>
    <row r="1364" spans="1:25" x14ac:dyDescent="0.25">
      <c r="A1364" s="317" t="s">
        <v>499</v>
      </c>
      <c r="B1364" s="318"/>
      <c r="C1364" s="318"/>
      <c r="D1364" s="318"/>
      <c r="E1364" s="318"/>
      <c r="F1364" s="318"/>
      <c r="G1364" s="318"/>
      <c r="H1364" s="318"/>
      <c r="I1364" s="318"/>
      <c r="J1364" s="318"/>
      <c r="K1364" s="318"/>
      <c r="L1364" s="318"/>
      <c r="M1364" s="318"/>
      <c r="N1364" s="318"/>
      <c r="O1364" s="318"/>
      <c r="P1364" s="318"/>
      <c r="Q1364" s="318"/>
      <c r="R1364" s="318"/>
      <c r="S1364" s="318"/>
      <c r="T1364" s="318"/>
      <c r="U1364" s="318"/>
      <c r="V1364" s="318"/>
      <c r="W1364" s="318"/>
      <c r="X1364" s="318"/>
      <c r="Y1364" s="319"/>
    </row>
    <row r="1365" spans="1:25" x14ac:dyDescent="0.25">
      <c r="A1365" s="320"/>
      <c r="B1365" s="321"/>
      <c r="C1365" s="321"/>
      <c r="D1365" s="321"/>
      <c r="E1365" s="321"/>
      <c r="F1365" s="321"/>
      <c r="G1365" s="321"/>
      <c r="H1365" s="321"/>
      <c r="I1365" s="321"/>
      <c r="J1365" s="321"/>
      <c r="K1365" s="321"/>
      <c r="L1365" s="321"/>
      <c r="M1365" s="321"/>
      <c r="N1365" s="321"/>
      <c r="O1365" s="321"/>
      <c r="P1365" s="321"/>
      <c r="Q1365" s="321"/>
      <c r="R1365" s="321"/>
      <c r="S1365" s="321"/>
      <c r="T1365" s="321"/>
      <c r="U1365" s="321"/>
      <c r="V1365" s="321"/>
      <c r="W1365" s="321"/>
      <c r="X1365" s="321"/>
      <c r="Y1365" s="322"/>
    </row>
    <row r="1366" spans="1:25" x14ac:dyDescent="0.25">
      <c r="A1366" s="320"/>
      <c r="B1366" s="321"/>
      <c r="C1366" s="321"/>
      <c r="D1366" s="321"/>
      <c r="E1366" s="321"/>
      <c r="F1366" s="321"/>
      <c r="G1366" s="321"/>
      <c r="H1366" s="321"/>
      <c r="I1366" s="321"/>
      <c r="J1366" s="321"/>
      <c r="K1366" s="321"/>
      <c r="L1366" s="321"/>
      <c r="M1366" s="321"/>
      <c r="N1366" s="321"/>
      <c r="O1366" s="321"/>
      <c r="P1366" s="321"/>
      <c r="Q1366" s="321"/>
      <c r="R1366" s="321"/>
      <c r="S1366" s="321"/>
      <c r="T1366" s="321"/>
      <c r="U1366" s="321"/>
      <c r="V1366" s="321"/>
      <c r="W1366" s="321"/>
      <c r="X1366" s="321"/>
      <c r="Y1366" s="322"/>
    </row>
    <row r="1367" spans="1:25" x14ac:dyDescent="0.25">
      <c r="A1367" s="320"/>
      <c r="B1367" s="321"/>
      <c r="C1367" s="321"/>
      <c r="D1367" s="321"/>
      <c r="E1367" s="321"/>
      <c r="F1367" s="321"/>
      <c r="G1367" s="321"/>
      <c r="H1367" s="321"/>
      <c r="I1367" s="321"/>
      <c r="J1367" s="321"/>
      <c r="K1367" s="321"/>
      <c r="L1367" s="321"/>
      <c r="M1367" s="321"/>
      <c r="N1367" s="321"/>
      <c r="O1367" s="321"/>
      <c r="P1367" s="321"/>
      <c r="Q1367" s="321"/>
      <c r="R1367" s="321"/>
      <c r="S1367" s="321"/>
      <c r="T1367" s="321"/>
      <c r="U1367" s="321"/>
      <c r="V1367" s="321"/>
      <c r="W1367" s="321"/>
      <c r="X1367" s="321"/>
      <c r="Y1367" s="322"/>
    </row>
    <row r="1368" spans="1:25" x14ac:dyDescent="0.25">
      <c r="A1368" s="320"/>
      <c r="B1368" s="321"/>
      <c r="C1368" s="321"/>
      <c r="D1368" s="321"/>
      <c r="E1368" s="321"/>
      <c r="F1368" s="321"/>
      <c r="G1368" s="321"/>
      <c r="H1368" s="321"/>
      <c r="I1368" s="321"/>
      <c r="J1368" s="321"/>
      <c r="K1368" s="321"/>
      <c r="L1368" s="321"/>
      <c r="M1368" s="321"/>
      <c r="N1368" s="321"/>
      <c r="O1368" s="321"/>
      <c r="P1368" s="321"/>
      <c r="Q1368" s="321"/>
      <c r="R1368" s="321"/>
      <c r="S1368" s="321"/>
      <c r="T1368" s="321"/>
      <c r="U1368" s="321"/>
      <c r="V1368" s="321"/>
      <c r="W1368" s="321"/>
      <c r="X1368" s="321"/>
      <c r="Y1368" s="322"/>
    </row>
    <row r="1369" spans="1:25" x14ac:dyDescent="0.25">
      <c r="A1369" s="320"/>
      <c r="B1369" s="321"/>
      <c r="C1369" s="321"/>
      <c r="D1369" s="321"/>
      <c r="E1369" s="321"/>
      <c r="F1369" s="321"/>
      <c r="G1369" s="321"/>
      <c r="H1369" s="321"/>
      <c r="I1369" s="321"/>
      <c r="J1369" s="321"/>
      <c r="K1369" s="321"/>
      <c r="L1369" s="321"/>
      <c r="M1369" s="321"/>
      <c r="N1369" s="321"/>
      <c r="O1369" s="321"/>
      <c r="P1369" s="321"/>
      <c r="Q1369" s="321"/>
      <c r="R1369" s="321"/>
      <c r="S1369" s="321"/>
      <c r="T1369" s="321"/>
      <c r="U1369" s="321"/>
      <c r="V1369" s="321"/>
      <c r="W1369" s="321"/>
      <c r="X1369" s="321"/>
      <c r="Y1369" s="322"/>
    </row>
    <row r="1370" spans="1:25" ht="15.75" thickBot="1" x14ac:dyDescent="0.3">
      <c r="A1370" s="323"/>
      <c r="B1370" s="324"/>
      <c r="C1370" s="324"/>
      <c r="D1370" s="324"/>
      <c r="E1370" s="324"/>
      <c r="F1370" s="324"/>
      <c r="G1370" s="324"/>
      <c r="H1370" s="324"/>
      <c r="I1370" s="324"/>
      <c r="J1370" s="324"/>
      <c r="K1370" s="324"/>
      <c r="L1370" s="324"/>
      <c r="M1370" s="324"/>
      <c r="N1370" s="324"/>
      <c r="O1370" s="324"/>
      <c r="P1370" s="324"/>
      <c r="Q1370" s="324"/>
      <c r="R1370" s="324"/>
      <c r="S1370" s="324"/>
      <c r="T1370" s="324"/>
      <c r="U1370" s="324"/>
      <c r="V1370" s="324"/>
      <c r="W1370" s="324"/>
      <c r="X1370" s="324"/>
      <c r="Y1370" s="325"/>
    </row>
    <row r="1372" spans="1:25" ht="15.75" thickBot="1" x14ac:dyDescent="0.3">
      <c r="A1372" s="326" t="s">
        <v>27</v>
      </c>
      <c r="B1372" s="326"/>
      <c r="C1372" s="326"/>
      <c r="D1372" s="326"/>
      <c r="E1372" s="326"/>
      <c r="F1372" s="326"/>
      <c r="G1372" s="326"/>
      <c r="H1372" s="326"/>
    </row>
    <row r="1373" spans="1:25" ht="15.75" thickBot="1" x14ac:dyDescent="0.3">
      <c r="A1373" s="327" t="s">
        <v>272</v>
      </c>
      <c r="B1373" s="328"/>
      <c r="C1373" s="328"/>
      <c r="D1373" s="328"/>
      <c r="E1373" s="328"/>
      <c r="F1373" s="328"/>
      <c r="G1373" s="328"/>
      <c r="H1373" s="328"/>
      <c r="I1373" s="328"/>
      <c r="J1373" s="328"/>
      <c r="K1373" s="328"/>
      <c r="L1373" s="328"/>
      <c r="M1373" s="328"/>
      <c r="N1373" s="328"/>
      <c r="O1373" s="328"/>
      <c r="P1373" s="328"/>
      <c r="Q1373" s="328"/>
      <c r="R1373" s="328"/>
      <c r="S1373" s="328"/>
      <c r="T1373" s="328"/>
      <c r="U1373" s="328"/>
      <c r="V1373" s="328"/>
      <c r="W1373" s="328"/>
      <c r="X1373" s="328"/>
      <c r="Y1373" s="329"/>
    </row>
    <row r="1375" spans="1:25" ht="15.75" thickBot="1" x14ac:dyDescent="0.3">
      <c r="A1375" s="326" t="s">
        <v>121</v>
      </c>
      <c r="B1375" s="326"/>
      <c r="C1375" s="326"/>
      <c r="E1375" s="326" t="s">
        <v>122</v>
      </c>
      <c r="F1375" s="326"/>
      <c r="G1375" s="326"/>
    </row>
    <row r="1376" spans="1:25" ht="15.75" thickBot="1" x14ac:dyDescent="0.3">
      <c r="A1376" s="330" t="s">
        <v>64</v>
      </c>
      <c r="B1376" s="331"/>
      <c r="E1376" s="330" t="s">
        <v>66</v>
      </c>
      <c r="F1376" s="331"/>
    </row>
    <row r="1379" spans="1:25" ht="19.5" thickBot="1" x14ac:dyDescent="0.35">
      <c r="A1379" s="332" t="s">
        <v>511</v>
      </c>
      <c r="B1379" s="332"/>
      <c r="C1379" s="332"/>
      <c r="D1379" s="332"/>
      <c r="E1379" s="332"/>
      <c r="F1379" s="332"/>
      <c r="H1379" s="332" t="s">
        <v>512</v>
      </c>
      <c r="I1379" s="332"/>
      <c r="J1379" s="332"/>
    </row>
    <row r="1380" spans="1:25" x14ac:dyDescent="0.25">
      <c r="A1380" s="317" t="s">
        <v>514</v>
      </c>
      <c r="B1380" s="318"/>
      <c r="C1380" s="318"/>
      <c r="D1380" s="318"/>
      <c r="E1380" s="318"/>
      <c r="F1380" s="318"/>
      <c r="G1380" s="318"/>
      <c r="H1380" s="318"/>
      <c r="I1380" s="318"/>
      <c r="J1380" s="318"/>
      <c r="K1380" s="318"/>
      <c r="L1380" s="318"/>
      <c r="M1380" s="318"/>
      <c r="N1380" s="318"/>
      <c r="O1380" s="318"/>
      <c r="P1380" s="318"/>
      <c r="Q1380" s="318"/>
      <c r="R1380" s="318"/>
      <c r="S1380" s="318"/>
      <c r="T1380" s="318"/>
      <c r="U1380" s="318"/>
      <c r="V1380" s="318"/>
      <c r="W1380" s="318"/>
      <c r="X1380" s="318"/>
      <c r="Y1380" s="319"/>
    </row>
    <row r="1381" spans="1:25" x14ac:dyDescent="0.25">
      <c r="A1381" s="320"/>
      <c r="B1381" s="321"/>
      <c r="C1381" s="321"/>
      <c r="D1381" s="321"/>
      <c r="E1381" s="321"/>
      <c r="F1381" s="321"/>
      <c r="G1381" s="321"/>
      <c r="H1381" s="321"/>
      <c r="I1381" s="321"/>
      <c r="J1381" s="321"/>
      <c r="K1381" s="321"/>
      <c r="L1381" s="321"/>
      <c r="M1381" s="321"/>
      <c r="N1381" s="321"/>
      <c r="O1381" s="321"/>
      <c r="P1381" s="321"/>
      <c r="Q1381" s="321"/>
      <c r="R1381" s="321"/>
      <c r="S1381" s="321"/>
      <c r="T1381" s="321"/>
      <c r="U1381" s="321"/>
      <c r="V1381" s="321"/>
      <c r="W1381" s="321"/>
      <c r="X1381" s="321"/>
      <c r="Y1381" s="322"/>
    </row>
    <row r="1382" spans="1:25" x14ac:dyDescent="0.25">
      <c r="A1382" s="320"/>
      <c r="B1382" s="321"/>
      <c r="C1382" s="321"/>
      <c r="D1382" s="321"/>
      <c r="E1382" s="321"/>
      <c r="F1382" s="321"/>
      <c r="G1382" s="321"/>
      <c r="H1382" s="321"/>
      <c r="I1382" s="321"/>
      <c r="J1382" s="321"/>
      <c r="K1382" s="321"/>
      <c r="L1382" s="321"/>
      <c r="M1382" s="321"/>
      <c r="N1382" s="321"/>
      <c r="O1382" s="321"/>
      <c r="P1382" s="321"/>
      <c r="Q1382" s="321"/>
      <c r="R1382" s="321"/>
      <c r="S1382" s="321"/>
      <c r="T1382" s="321"/>
      <c r="U1382" s="321"/>
      <c r="V1382" s="321"/>
      <c r="W1382" s="321"/>
      <c r="X1382" s="321"/>
      <c r="Y1382" s="322"/>
    </row>
    <row r="1383" spans="1:25" x14ac:dyDescent="0.25">
      <c r="A1383" s="320"/>
      <c r="B1383" s="321"/>
      <c r="C1383" s="321"/>
      <c r="D1383" s="321"/>
      <c r="E1383" s="321"/>
      <c r="F1383" s="321"/>
      <c r="G1383" s="321"/>
      <c r="H1383" s="321"/>
      <c r="I1383" s="321"/>
      <c r="J1383" s="321"/>
      <c r="K1383" s="321"/>
      <c r="L1383" s="321"/>
      <c r="M1383" s="321"/>
      <c r="N1383" s="321"/>
      <c r="O1383" s="321"/>
      <c r="P1383" s="321"/>
      <c r="Q1383" s="321"/>
      <c r="R1383" s="321"/>
      <c r="S1383" s="321"/>
      <c r="T1383" s="321"/>
      <c r="U1383" s="321"/>
      <c r="V1383" s="321"/>
      <c r="W1383" s="321"/>
      <c r="X1383" s="321"/>
      <c r="Y1383" s="322"/>
    </row>
    <row r="1384" spans="1:25" x14ac:dyDescent="0.25">
      <c r="A1384" s="320"/>
      <c r="B1384" s="321"/>
      <c r="C1384" s="321"/>
      <c r="D1384" s="321"/>
      <c r="E1384" s="321"/>
      <c r="F1384" s="321"/>
      <c r="G1384" s="321"/>
      <c r="H1384" s="321"/>
      <c r="I1384" s="321"/>
      <c r="J1384" s="321"/>
      <c r="K1384" s="321"/>
      <c r="L1384" s="321"/>
      <c r="M1384" s="321"/>
      <c r="N1384" s="321"/>
      <c r="O1384" s="321"/>
      <c r="P1384" s="321"/>
      <c r="Q1384" s="321"/>
      <c r="R1384" s="321"/>
      <c r="S1384" s="321"/>
      <c r="T1384" s="321"/>
      <c r="U1384" s="321"/>
      <c r="V1384" s="321"/>
      <c r="W1384" s="321"/>
      <c r="X1384" s="321"/>
      <c r="Y1384" s="322"/>
    </row>
    <row r="1385" spans="1:25" x14ac:dyDescent="0.25">
      <c r="A1385" s="320"/>
      <c r="B1385" s="321"/>
      <c r="C1385" s="321"/>
      <c r="D1385" s="321"/>
      <c r="E1385" s="321"/>
      <c r="F1385" s="321"/>
      <c r="G1385" s="321"/>
      <c r="H1385" s="321"/>
      <c r="I1385" s="321"/>
      <c r="J1385" s="321"/>
      <c r="K1385" s="321"/>
      <c r="L1385" s="321"/>
      <c r="M1385" s="321"/>
      <c r="N1385" s="321"/>
      <c r="O1385" s="321"/>
      <c r="P1385" s="321"/>
      <c r="Q1385" s="321"/>
      <c r="R1385" s="321"/>
      <c r="S1385" s="321"/>
      <c r="T1385" s="321"/>
      <c r="U1385" s="321"/>
      <c r="V1385" s="321"/>
      <c r="W1385" s="321"/>
      <c r="X1385" s="321"/>
      <c r="Y1385" s="322"/>
    </row>
    <row r="1386" spans="1:25" x14ac:dyDescent="0.25">
      <c r="A1386" s="320"/>
      <c r="B1386" s="321"/>
      <c r="C1386" s="321"/>
      <c r="D1386" s="321"/>
      <c r="E1386" s="321"/>
      <c r="F1386" s="321"/>
      <c r="G1386" s="321"/>
      <c r="H1386" s="321"/>
      <c r="I1386" s="321"/>
      <c r="J1386" s="321"/>
      <c r="K1386" s="321"/>
      <c r="L1386" s="321"/>
      <c r="M1386" s="321"/>
      <c r="N1386" s="321"/>
      <c r="O1386" s="321"/>
      <c r="P1386" s="321"/>
      <c r="Q1386" s="321"/>
      <c r="R1386" s="321"/>
      <c r="S1386" s="321"/>
      <c r="T1386" s="321"/>
      <c r="U1386" s="321"/>
      <c r="V1386" s="321"/>
      <c r="W1386" s="321"/>
      <c r="X1386" s="321"/>
      <c r="Y1386" s="322"/>
    </row>
    <row r="1387" spans="1:25" x14ac:dyDescent="0.25">
      <c r="A1387" s="320"/>
      <c r="B1387" s="321"/>
      <c r="C1387" s="321"/>
      <c r="D1387" s="321"/>
      <c r="E1387" s="321"/>
      <c r="F1387" s="321"/>
      <c r="G1387" s="321"/>
      <c r="H1387" s="321"/>
      <c r="I1387" s="321"/>
      <c r="J1387" s="321"/>
      <c r="K1387" s="321"/>
      <c r="L1387" s="321"/>
      <c r="M1387" s="321"/>
      <c r="N1387" s="321"/>
      <c r="O1387" s="321"/>
      <c r="P1387" s="321"/>
      <c r="Q1387" s="321"/>
      <c r="R1387" s="321"/>
      <c r="S1387" s="321"/>
      <c r="T1387" s="321"/>
      <c r="U1387" s="321"/>
      <c r="V1387" s="321"/>
      <c r="W1387" s="321"/>
      <c r="X1387" s="321"/>
      <c r="Y1387" s="322"/>
    </row>
    <row r="1388" spans="1:25" x14ac:dyDescent="0.25">
      <c r="A1388" s="320"/>
      <c r="B1388" s="321"/>
      <c r="C1388" s="321"/>
      <c r="D1388" s="321"/>
      <c r="E1388" s="321"/>
      <c r="F1388" s="321"/>
      <c r="G1388" s="321"/>
      <c r="H1388" s="321"/>
      <c r="I1388" s="321"/>
      <c r="J1388" s="321"/>
      <c r="K1388" s="321"/>
      <c r="L1388" s="321"/>
      <c r="M1388" s="321"/>
      <c r="N1388" s="321"/>
      <c r="O1388" s="321"/>
      <c r="P1388" s="321"/>
      <c r="Q1388" s="321"/>
      <c r="R1388" s="321"/>
      <c r="S1388" s="321"/>
      <c r="T1388" s="321"/>
      <c r="U1388" s="321"/>
      <c r="V1388" s="321"/>
      <c r="W1388" s="321"/>
      <c r="X1388" s="321"/>
      <c r="Y1388" s="322"/>
    </row>
    <row r="1389" spans="1:25" x14ac:dyDescent="0.25">
      <c r="A1389" s="320"/>
      <c r="B1389" s="321"/>
      <c r="C1389" s="321"/>
      <c r="D1389" s="321"/>
      <c r="E1389" s="321"/>
      <c r="F1389" s="321"/>
      <c r="G1389" s="321"/>
      <c r="H1389" s="321"/>
      <c r="I1389" s="321"/>
      <c r="J1389" s="321"/>
      <c r="K1389" s="321"/>
      <c r="L1389" s="321"/>
      <c r="M1389" s="321"/>
      <c r="N1389" s="321"/>
      <c r="O1389" s="321"/>
      <c r="P1389" s="321"/>
      <c r="Q1389" s="321"/>
      <c r="R1389" s="321"/>
      <c r="S1389" s="321"/>
      <c r="T1389" s="321"/>
      <c r="U1389" s="321"/>
      <c r="V1389" s="321"/>
      <c r="W1389" s="321"/>
      <c r="X1389" s="321"/>
      <c r="Y1389" s="322"/>
    </row>
    <row r="1390" spans="1:25" x14ac:dyDescent="0.25">
      <c r="A1390" s="320"/>
      <c r="B1390" s="321"/>
      <c r="C1390" s="321"/>
      <c r="D1390" s="321"/>
      <c r="E1390" s="321"/>
      <c r="F1390" s="321"/>
      <c r="G1390" s="321"/>
      <c r="H1390" s="321"/>
      <c r="I1390" s="321"/>
      <c r="J1390" s="321"/>
      <c r="K1390" s="321"/>
      <c r="L1390" s="321"/>
      <c r="M1390" s="321"/>
      <c r="N1390" s="321"/>
      <c r="O1390" s="321"/>
      <c r="P1390" s="321"/>
      <c r="Q1390" s="321"/>
      <c r="R1390" s="321"/>
      <c r="S1390" s="321"/>
      <c r="T1390" s="321"/>
      <c r="U1390" s="321"/>
      <c r="V1390" s="321"/>
      <c r="W1390" s="321"/>
      <c r="X1390" s="321"/>
      <c r="Y1390" s="322"/>
    </row>
    <row r="1391" spans="1:25" x14ac:dyDescent="0.25">
      <c r="A1391" s="320"/>
      <c r="B1391" s="321"/>
      <c r="C1391" s="321"/>
      <c r="D1391" s="321"/>
      <c r="E1391" s="321"/>
      <c r="F1391" s="321"/>
      <c r="G1391" s="321"/>
      <c r="H1391" s="321"/>
      <c r="I1391" s="321"/>
      <c r="J1391" s="321"/>
      <c r="K1391" s="321"/>
      <c r="L1391" s="321"/>
      <c r="M1391" s="321"/>
      <c r="N1391" s="321"/>
      <c r="O1391" s="321"/>
      <c r="P1391" s="321"/>
      <c r="Q1391" s="321"/>
      <c r="R1391" s="321"/>
      <c r="S1391" s="321"/>
      <c r="T1391" s="321"/>
      <c r="U1391" s="321"/>
      <c r="V1391" s="321"/>
      <c r="W1391" s="321"/>
      <c r="X1391" s="321"/>
      <c r="Y1391" s="322"/>
    </row>
    <row r="1392" spans="1:25" x14ac:dyDescent="0.25">
      <c r="A1392" s="320"/>
      <c r="B1392" s="321"/>
      <c r="C1392" s="321"/>
      <c r="D1392" s="321"/>
      <c r="E1392" s="321"/>
      <c r="F1392" s="321"/>
      <c r="G1392" s="321"/>
      <c r="H1392" s="321"/>
      <c r="I1392" s="321"/>
      <c r="J1392" s="321"/>
      <c r="K1392" s="321"/>
      <c r="L1392" s="321"/>
      <c r="M1392" s="321"/>
      <c r="N1392" s="321"/>
      <c r="O1392" s="321"/>
      <c r="P1392" s="321"/>
      <c r="Q1392" s="321"/>
      <c r="R1392" s="321"/>
      <c r="S1392" s="321"/>
      <c r="T1392" s="321"/>
      <c r="U1392" s="321"/>
      <c r="V1392" s="321"/>
      <c r="W1392" s="321"/>
      <c r="X1392" s="321"/>
      <c r="Y1392" s="322"/>
    </row>
    <row r="1393" spans="1:25" ht="15.75" thickBot="1" x14ac:dyDescent="0.3">
      <c r="A1393" s="323"/>
      <c r="B1393" s="324"/>
      <c r="C1393" s="324"/>
      <c r="D1393" s="324"/>
      <c r="E1393" s="324"/>
      <c r="F1393" s="324"/>
      <c r="G1393" s="324"/>
      <c r="H1393" s="324"/>
      <c r="I1393" s="324"/>
      <c r="J1393" s="324"/>
      <c r="K1393" s="324"/>
      <c r="L1393" s="324"/>
      <c r="M1393" s="324"/>
      <c r="N1393" s="324"/>
      <c r="O1393" s="324"/>
      <c r="P1393" s="324"/>
      <c r="Q1393" s="324"/>
      <c r="R1393" s="324"/>
      <c r="S1393" s="324"/>
      <c r="T1393" s="324"/>
      <c r="U1393" s="324"/>
      <c r="V1393" s="324"/>
      <c r="W1393" s="324"/>
      <c r="X1393" s="324"/>
      <c r="Y1393" s="325"/>
    </row>
    <row r="1395" spans="1:25" ht="15.75" thickBot="1" x14ac:dyDescent="0.3">
      <c r="A1395" s="326" t="s">
        <v>29</v>
      </c>
      <c r="B1395" s="326"/>
      <c r="C1395" s="326"/>
      <c r="D1395" s="326"/>
    </row>
    <row r="1396" spans="1:25" x14ac:dyDescent="0.25">
      <c r="A1396" s="317" t="s">
        <v>513</v>
      </c>
      <c r="B1396" s="318"/>
      <c r="C1396" s="318"/>
      <c r="D1396" s="318"/>
      <c r="E1396" s="318"/>
      <c r="F1396" s="318"/>
      <c r="G1396" s="318"/>
      <c r="H1396" s="318"/>
      <c r="I1396" s="318"/>
      <c r="J1396" s="318"/>
      <c r="K1396" s="318"/>
      <c r="L1396" s="318"/>
      <c r="M1396" s="318"/>
      <c r="N1396" s="318"/>
      <c r="O1396" s="318"/>
      <c r="P1396" s="318"/>
      <c r="Q1396" s="318"/>
      <c r="R1396" s="318"/>
      <c r="S1396" s="318"/>
      <c r="T1396" s="318"/>
      <c r="U1396" s="318"/>
      <c r="V1396" s="318"/>
      <c r="W1396" s="318"/>
      <c r="X1396" s="318"/>
      <c r="Y1396" s="319"/>
    </row>
    <row r="1397" spans="1:25" x14ac:dyDescent="0.25">
      <c r="A1397" s="320"/>
      <c r="B1397" s="321"/>
      <c r="C1397" s="321"/>
      <c r="D1397" s="321"/>
      <c r="E1397" s="321"/>
      <c r="F1397" s="321"/>
      <c r="G1397" s="321"/>
      <c r="H1397" s="321"/>
      <c r="I1397" s="321"/>
      <c r="J1397" s="321"/>
      <c r="K1397" s="321"/>
      <c r="L1397" s="321"/>
      <c r="M1397" s="321"/>
      <c r="N1397" s="321"/>
      <c r="O1397" s="321"/>
      <c r="P1397" s="321"/>
      <c r="Q1397" s="321"/>
      <c r="R1397" s="321"/>
      <c r="S1397" s="321"/>
      <c r="T1397" s="321"/>
      <c r="U1397" s="321"/>
      <c r="V1397" s="321"/>
      <c r="W1397" s="321"/>
      <c r="X1397" s="321"/>
      <c r="Y1397" s="322"/>
    </row>
    <row r="1398" spans="1:25" x14ac:dyDescent="0.25">
      <c r="A1398" s="320"/>
      <c r="B1398" s="321"/>
      <c r="C1398" s="321"/>
      <c r="D1398" s="321"/>
      <c r="E1398" s="321"/>
      <c r="F1398" s="321"/>
      <c r="G1398" s="321"/>
      <c r="H1398" s="321"/>
      <c r="I1398" s="321"/>
      <c r="J1398" s="321"/>
      <c r="K1398" s="321"/>
      <c r="L1398" s="321"/>
      <c r="M1398" s="321"/>
      <c r="N1398" s="321"/>
      <c r="O1398" s="321"/>
      <c r="P1398" s="321"/>
      <c r="Q1398" s="321"/>
      <c r="R1398" s="321"/>
      <c r="S1398" s="321"/>
      <c r="T1398" s="321"/>
      <c r="U1398" s="321"/>
      <c r="V1398" s="321"/>
      <c r="W1398" s="321"/>
      <c r="X1398" s="321"/>
      <c r="Y1398" s="322"/>
    </row>
    <row r="1399" spans="1:25" x14ac:dyDescent="0.25">
      <c r="A1399" s="320"/>
      <c r="B1399" s="321"/>
      <c r="C1399" s="321"/>
      <c r="D1399" s="321"/>
      <c r="E1399" s="321"/>
      <c r="F1399" s="321"/>
      <c r="G1399" s="321"/>
      <c r="H1399" s="321"/>
      <c r="I1399" s="321"/>
      <c r="J1399" s="321"/>
      <c r="K1399" s="321"/>
      <c r="L1399" s="321"/>
      <c r="M1399" s="321"/>
      <c r="N1399" s="321"/>
      <c r="O1399" s="321"/>
      <c r="P1399" s="321"/>
      <c r="Q1399" s="321"/>
      <c r="R1399" s="321"/>
      <c r="S1399" s="321"/>
      <c r="T1399" s="321"/>
      <c r="U1399" s="321"/>
      <c r="V1399" s="321"/>
      <c r="W1399" s="321"/>
      <c r="X1399" s="321"/>
      <c r="Y1399" s="322"/>
    </row>
    <row r="1400" spans="1:25" x14ac:dyDescent="0.25">
      <c r="A1400" s="320"/>
      <c r="B1400" s="321"/>
      <c r="C1400" s="321"/>
      <c r="D1400" s="321"/>
      <c r="E1400" s="321"/>
      <c r="F1400" s="321"/>
      <c r="G1400" s="321"/>
      <c r="H1400" s="321"/>
      <c r="I1400" s="321"/>
      <c r="J1400" s="321"/>
      <c r="K1400" s="321"/>
      <c r="L1400" s="321"/>
      <c r="M1400" s="321"/>
      <c r="N1400" s="321"/>
      <c r="O1400" s="321"/>
      <c r="P1400" s="321"/>
      <c r="Q1400" s="321"/>
      <c r="R1400" s="321"/>
      <c r="S1400" s="321"/>
      <c r="T1400" s="321"/>
      <c r="U1400" s="321"/>
      <c r="V1400" s="321"/>
      <c r="W1400" s="321"/>
      <c r="X1400" s="321"/>
      <c r="Y1400" s="322"/>
    </row>
    <row r="1401" spans="1:25" x14ac:dyDescent="0.25">
      <c r="A1401" s="320"/>
      <c r="B1401" s="321"/>
      <c r="C1401" s="321"/>
      <c r="D1401" s="321"/>
      <c r="E1401" s="321"/>
      <c r="F1401" s="321"/>
      <c r="G1401" s="321"/>
      <c r="H1401" s="321"/>
      <c r="I1401" s="321"/>
      <c r="J1401" s="321"/>
      <c r="K1401" s="321"/>
      <c r="L1401" s="321"/>
      <c r="M1401" s="321"/>
      <c r="N1401" s="321"/>
      <c r="O1401" s="321"/>
      <c r="P1401" s="321"/>
      <c r="Q1401" s="321"/>
      <c r="R1401" s="321"/>
      <c r="S1401" s="321"/>
      <c r="T1401" s="321"/>
      <c r="U1401" s="321"/>
      <c r="V1401" s="321"/>
      <c r="W1401" s="321"/>
      <c r="X1401" s="321"/>
      <c r="Y1401" s="322"/>
    </row>
    <row r="1402" spans="1:25" ht="15.75" thickBot="1" x14ac:dyDescent="0.3">
      <c r="A1402" s="323"/>
      <c r="B1402" s="324"/>
      <c r="C1402" s="324"/>
      <c r="D1402" s="324"/>
      <c r="E1402" s="324"/>
      <c r="F1402" s="324"/>
      <c r="G1402" s="324"/>
      <c r="H1402" s="324"/>
      <c r="I1402" s="324"/>
      <c r="J1402" s="324"/>
      <c r="K1402" s="324"/>
      <c r="L1402" s="324"/>
      <c r="M1402" s="324"/>
      <c r="N1402" s="324"/>
      <c r="O1402" s="324"/>
      <c r="P1402" s="324"/>
      <c r="Q1402" s="324"/>
      <c r="R1402" s="324"/>
      <c r="S1402" s="324"/>
      <c r="T1402" s="324"/>
      <c r="U1402" s="324"/>
      <c r="V1402" s="324"/>
      <c r="W1402" s="324"/>
      <c r="X1402" s="324"/>
      <c r="Y1402" s="325"/>
    </row>
    <row r="1404" spans="1:25" ht="15.75" thickBot="1" x14ac:dyDescent="0.3">
      <c r="A1404" s="326" t="s">
        <v>27</v>
      </c>
      <c r="B1404" s="326"/>
      <c r="C1404" s="326"/>
      <c r="D1404" s="326"/>
      <c r="E1404" s="326"/>
      <c r="F1404" s="326"/>
      <c r="G1404" s="326"/>
      <c r="H1404" s="326"/>
    </row>
    <row r="1405" spans="1:25" ht="15.75" thickBot="1" x14ac:dyDescent="0.3">
      <c r="A1405" s="327" t="s">
        <v>272</v>
      </c>
      <c r="B1405" s="328"/>
      <c r="C1405" s="328"/>
      <c r="D1405" s="328"/>
      <c r="E1405" s="328"/>
      <c r="F1405" s="328"/>
      <c r="G1405" s="328"/>
      <c r="H1405" s="328"/>
      <c r="I1405" s="328"/>
      <c r="J1405" s="328"/>
      <c r="K1405" s="328"/>
      <c r="L1405" s="328"/>
      <c r="M1405" s="328"/>
      <c r="N1405" s="328"/>
      <c r="O1405" s="328"/>
      <c r="P1405" s="328"/>
      <c r="Q1405" s="328"/>
      <c r="R1405" s="328"/>
      <c r="S1405" s="328"/>
      <c r="T1405" s="328"/>
      <c r="U1405" s="328"/>
      <c r="V1405" s="328"/>
      <c r="W1405" s="328"/>
      <c r="X1405" s="328"/>
      <c r="Y1405" s="329"/>
    </row>
    <row r="1407" spans="1:25" ht="15.75" thickBot="1" x14ac:dyDescent="0.3">
      <c r="A1407" s="326" t="s">
        <v>121</v>
      </c>
      <c r="B1407" s="326"/>
      <c r="C1407" s="326"/>
      <c r="E1407" s="326" t="s">
        <v>122</v>
      </c>
      <c r="F1407" s="326"/>
      <c r="G1407" s="326"/>
    </row>
    <row r="1408" spans="1:25" ht="15.75" thickBot="1" x14ac:dyDescent="0.3">
      <c r="A1408" s="330" t="s">
        <v>64</v>
      </c>
      <c r="B1408" s="331"/>
      <c r="E1408" s="330" t="s">
        <v>66</v>
      </c>
      <c r="F1408" s="331"/>
    </row>
    <row r="1410" spans="1:25" ht="19.5" thickBot="1" x14ac:dyDescent="0.35">
      <c r="A1410" s="332" t="s">
        <v>523</v>
      </c>
      <c r="B1410" s="332"/>
      <c r="C1410" s="332"/>
      <c r="D1410" s="332"/>
      <c r="E1410" s="332"/>
      <c r="F1410" s="332"/>
      <c r="H1410" s="332" t="s">
        <v>524</v>
      </c>
      <c r="I1410" s="332"/>
      <c r="J1410" s="332"/>
    </row>
    <row r="1411" spans="1:25" x14ac:dyDescent="0.25">
      <c r="A1411" s="317" t="s">
        <v>551</v>
      </c>
      <c r="B1411" s="318"/>
      <c r="C1411" s="318"/>
      <c r="D1411" s="318"/>
      <c r="E1411" s="318"/>
      <c r="F1411" s="318"/>
      <c r="G1411" s="318"/>
      <c r="H1411" s="318"/>
      <c r="I1411" s="318"/>
      <c r="J1411" s="318"/>
      <c r="K1411" s="318"/>
      <c r="L1411" s="318"/>
      <c r="M1411" s="318"/>
      <c r="N1411" s="318"/>
      <c r="O1411" s="318"/>
      <c r="P1411" s="318"/>
      <c r="Q1411" s="318"/>
      <c r="R1411" s="318"/>
      <c r="S1411" s="318"/>
      <c r="T1411" s="318"/>
      <c r="U1411" s="318"/>
      <c r="V1411" s="318"/>
      <c r="W1411" s="318"/>
      <c r="X1411" s="318"/>
      <c r="Y1411" s="319"/>
    </row>
    <row r="1412" spans="1:25" x14ac:dyDescent="0.25">
      <c r="A1412" s="320"/>
      <c r="B1412" s="321"/>
      <c r="C1412" s="321"/>
      <c r="D1412" s="321"/>
      <c r="E1412" s="321"/>
      <c r="F1412" s="321"/>
      <c r="G1412" s="321"/>
      <c r="H1412" s="321"/>
      <c r="I1412" s="321"/>
      <c r="J1412" s="321"/>
      <c r="K1412" s="321"/>
      <c r="L1412" s="321"/>
      <c r="M1412" s="321"/>
      <c r="N1412" s="321"/>
      <c r="O1412" s="321"/>
      <c r="P1412" s="321"/>
      <c r="Q1412" s="321"/>
      <c r="R1412" s="321"/>
      <c r="S1412" s="321"/>
      <c r="T1412" s="321"/>
      <c r="U1412" s="321"/>
      <c r="V1412" s="321"/>
      <c r="W1412" s="321"/>
      <c r="X1412" s="321"/>
      <c r="Y1412" s="322"/>
    </row>
    <row r="1413" spans="1:25" x14ac:dyDescent="0.25">
      <c r="A1413" s="320"/>
      <c r="B1413" s="321"/>
      <c r="C1413" s="321"/>
      <c r="D1413" s="321"/>
      <c r="E1413" s="321"/>
      <c r="F1413" s="321"/>
      <c r="G1413" s="321"/>
      <c r="H1413" s="321"/>
      <c r="I1413" s="321"/>
      <c r="J1413" s="321"/>
      <c r="K1413" s="321"/>
      <c r="L1413" s="321"/>
      <c r="M1413" s="321"/>
      <c r="N1413" s="321"/>
      <c r="O1413" s="321"/>
      <c r="P1413" s="321"/>
      <c r="Q1413" s="321"/>
      <c r="R1413" s="321"/>
      <c r="S1413" s="321"/>
      <c r="T1413" s="321"/>
      <c r="U1413" s="321"/>
      <c r="V1413" s="321"/>
      <c r="W1413" s="321"/>
      <c r="X1413" s="321"/>
      <c r="Y1413" s="322"/>
    </row>
    <row r="1414" spans="1:25" x14ac:dyDescent="0.25">
      <c r="A1414" s="320"/>
      <c r="B1414" s="321"/>
      <c r="C1414" s="321"/>
      <c r="D1414" s="321"/>
      <c r="E1414" s="321"/>
      <c r="F1414" s="321"/>
      <c r="G1414" s="321"/>
      <c r="H1414" s="321"/>
      <c r="I1414" s="321"/>
      <c r="J1414" s="321"/>
      <c r="K1414" s="321"/>
      <c r="L1414" s="321"/>
      <c r="M1414" s="321"/>
      <c r="N1414" s="321"/>
      <c r="O1414" s="321"/>
      <c r="P1414" s="321"/>
      <c r="Q1414" s="321"/>
      <c r="R1414" s="321"/>
      <c r="S1414" s="321"/>
      <c r="T1414" s="321"/>
      <c r="U1414" s="321"/>
      <c r="V1414" s="321"/>
      <c r="W1414" s="321"/>
      <c r="X1414" s="321"/>
      <c r="Y1414" s="322"/>
    </row>
    <row r="1415" spans="1:25" x14ac:dyDescent="0.25">
      <c r="A1415" s="320"/>
      <c r="B1415" s="321"/>
      <c r="C1415" s="321"/>
      <c r="D1415" s="321"/>
      <c r="E1415" s="321"/>
      <c r="F1415" s="321"/>
      <c r="G1415" s="321"/>
      <c r="H1415" s="321"/>
      <c r="I1415" s="321"/>
      <c r="J1415" s="321"/>
      <c r="K1415" s="321"/>
      <c r="L1415" s="321"/>
      <c r="M1415" s="321"/>
      <c r="N1415" s="321"/>
      <c r="O1415" s="321"/>
      <c r="P1415" s="321"/>
      <c r="Q1415" s="321"/>
      <c r="R1415" s="321"/>
      <c r="S1415" s="321"/>
      <c r="T1415" s="321"/>
      <c r="U1415" s="321"/>
      <c r="V1415" s="321"/>
      <c r="W1415" s="321"/>
      <c r="X1415" s="321"/>
      <c r="Y1415" s="322"/>
    </row>
    <row r="1416" spans="1:25" x14ac:dyDescent="0.25">
      <c r="A1416" s="320"/>
      <c r="B1416" s="321"/>
      <c r="C1416" s="321"/>
      <c r="D1416" s="321"/>
      <c r="E1416" s="321"/>
      <c r="F1416" s="321"/>
      <c r="G1416" s="321"/>
      <c r="H1416" s="321"/>
      <c r="I1416" s="321"/>
      <c r="J1416" s="321"/>
      <c r="K1416" s="321"/>
      <c r="L1416" s="321"/>
      <c r="M1416" s="321"/>
      <c r="N1416" s="321"/>
      <c r="O1416" s="321"/>
      <c r="P1416" s="321"/>
      <c r="Q1416" s="321"/>
      <c r="R1416" s="321"/>
      <c r="S1416" s="321"/>
      <c r="T1416" s="321"/>
      <c r="U1416" s="321"/>
      <c r="V1416" s="321"/>
      <c r="W1416" s="321"/>
      <c r="X1416" s="321"/>
      <c r="Y1416" s="322"/>
    </row>
    <row r="1417" spans="1:25" x14ac:dyDescent="0.25">
      <c r="A1417" s="320"/>
      <c r="B1417" s="321"/>
      <c r="C1417" s="321"/>
      <c r="D1417" s="321"/>
      <c r="E1417" s="321"/>
      <c r="F1417" s="321"/>
      <c r="G1417" s="321"/>
      <c r="H1417" s="321"/>
      <c r="I1417" s="321"/>
      <c r="J1417" s="321"/>
      <c r="K1417" s="321"/>
      <c r="L1417" s="321"/>
      <c r="M1417" s="321"/>
      <c r="N1417" s="321"/>
      <c r="O1417" s="321"/>
      <c r="P1417" s="321"/>
      <c r="Q1417" s="321"/>
      <c r="R1417" s="321"/>
      <c r="S1417" s="321"/>
      <c r="T1417" s="321"/>
      <c r="U1417" s="321"/>
      <c r="V1417" s="321"/>
      <c r="W1417" s="321"/>
      <c r="X1417" s="321"/>
      <c r="Y1417" s="322"/>
    </row>
    <row r="1418" spans="1:25" x14ac:dyDescent="0.25">
      <c r="A1418" s="320"/>
      <c r="B1418" s="321"/>
      <c r="C1418" s="321"/>
      <c r="D1418" s="321"/>
      <c r="E1418" s="321"/>
      <c r="F1418" s="321"/>
      <c r="G1418" s="321"/>
      <c r="H1418" s="321"/>
      <c r="I1418" s="321"/>
      <c r="J1418" s="321"/>
      <c r="K1418" s="321"/>
      <c r="L1418" s="321"/>
      <c r="M1418" s="321"/>
      <c r="N1418" s="321"/>
      <c r="O1418" s="321"/>
      <c r="P1418" s="321"/>
      <c r="Q1418" s="321"/>
      <c r="R1418" s="321"/>
      <c r="S1418" s="321"/>
      <c r="T1418" s="321"/>
      <c r="U1418" s="321"/>
      <c r="V1418" s="321"/>
      <c r="W1418" s="321"/>
      <c r="X1418" s="321"/>
      <c r="Y1418" s="322"/>
    </row>
    <row r="1419" spans="1:25" x14ac:dyDescent="0.25">
      <c r="A1419" s="320"/>
      <c r="B1419" s="321"/>
      <c r="C1419" s="321"/>
      <c r="D1419" s="321"/>
      <c r="E1419" s="321"/>
      <c r="F1419" s="321"/>
      <c r="G1419" s="321"/>
      <c r="H1419" s="321"/>
      <c r="I1419" s="321"/>
      <c r="J1419" s="321"/>
      <c r="K1419" s="321"/>
      <c r="L1419" s="321"/>
      <c r="M1419" s="321"/>
      <c r="N1419" s="321"/>
      <c r="O1419" s="321"/>
      <c r="P1419" s="321"/>
      <c r="Q1419" s="321"/>
      <c r="R1419" s="321"/>
      <c r="S1419" s="321"/>
      <c r="T1419" s="321"/>
      <c r="U1419" s="321"/>
      <c r="V1419" s="321"/>
      <c r="W1419" s="321"/>
      <c r="X1419" s="321"/>
      <c r="Y1419" s="322"/>
    </row>
    <row r="1420" spans="1:25" x14ac:dyDescent="0.25">
      <c r="A1420" s="320"/>
      <c r="B1420" s="321"/>
      <c r="C1420" s="321"/>
      <c r="D1420" s="321"/>
      <c r="E1420" s="321"/>
      <c r="F1420" s="321"/>
      <c r="G1420" s="321"/>
      <c r="H1420" s="321"/>
      <c r="I1420" s="321"/>
      <c r="J1420" s="321"/>
      <c r="K1420" s="321"/>
      <c r="L1420" s="321"/>
      <c r="M1420" s="321"/>
      <c r="N1420" s="321"/>
      <c r="O1420" s="321"/>
      <c r="P1420" s="321"/>
      <c r="Q1420" s="321"/>
      <c r="R1420" s="321"/>
      <c r="S1420" s="321"/>
      <c r="T1420" s="321"/>
      <c r="U1420" s="321"/>
      <c r="V1420" s="321"/>
      <c r="W1420" s="321"/>
      <c r="X1420" s="321"/>
      <c r="Y1420" s="322"/>
    </row>
    <row r="1421" spans="1:25" x14ac:dyDescent="0.25">
      <c r="A1421" s="320"/>
      <c r="B1421" s="321"/>
      <c r="C1421" s="321"/>
      <c r="D1421" s="321"/>
      <c r="E1421" s="321"/>
      <c r="F1421" s="321"/>
      <c r="G1421" s="321"/>
      <c r="H1421" s="321"/>
      <c r="I1421" s="321"/>
      <c r="J1421" s="321"/>
      <c r="K1421" s="321"/>
      <c r="L1421" s="321"/>
      <c r="M1421" s="321"/>
      <c r="N1421" s="321"/>
      <c r="O1421" s="321"/>
      <c r="P1421" s="321"/>
      <c r="Q1421" s="321"/>
      <c r="R1421" s="321"/>
      <c r="S1421" s="321"/>
      <c r="T1421" s="321"/>
      <c r="U1421" s="321"/>
      <c r="V1421" s="321"/>
      <c r="W1421" s="321"/>
      <c r="X1421" s="321"/>
      <c r="Y1421" s="322"/>
    </row>
    <row r="1422" spans="1:25" x14ac:dyDescent="0.25">
      <c r="A1422" s="320"/>
      <c r="B1422" s="321"/>
      <c r="C1422" s="321"/>
      <c r="D1422" s="321"/>
      <c r="E1422" s="321"/>
      <c r="F1422" s="321"/>
      <c r="G1422" s="321"/>
      <c r="H1422" s="321"/>
      <c r="I1422" s="321"/>
      <c r="J1422" s="321"/>
      <c r="K1422" s="321"/>
      <c r="L1422" s="321"/>
      <c r="M1422" s="321"/>
      <c r="N1422" s="321"/>
      <c r="O1422" s="321"/>
      <c r="P1422" s="321"/>
      <c r="Q1422" s="321"/>
      <c r="R1422" s="321"/>
      <c r="S1422" s="321"/>
      <c r="T1422" s="321"/>
      <c r="U1422" s="321"/>
      <c r="V1422" s="321"/>
      <c r="W1422" s="321"/>
      <c r="X1422" s="321"/>
      <c r="Y1422" s="322"/>
    </row>
    <row r="1423" spans="1:25" x14ac:dyDescent="0.25">
      <c r="A1423" s="320"/>
      <c r="B1423" s="321"/>
      <c r="C1423" s="321"/>
      <c r="D1423" s="321"/>
      <c r="E1423" s="321"/>
      <c r="F1423" s="321"/>
      <c r="G1423" s="321"/>
      <c r="H1423" s="321"/>
      <c r="I1423" s="321"/>
      <c r="J1423" s="321"/>
      <c r="K1423" s="321"/>
      <c r="L1423" s="321"/>
      <c r="M1423" s="321"/>
      <c r="N1423" s="321"/>
      <c r="O1423" s="321"/>
      <c r="P1423" s="321"/>
      <c r="Q1423" s="321"/>
      <c r="R1423" s="321"/>
      <c r="S1423" s="321"/>
      <c r="T1423" s="321"/>
      <c r="U1423" s="321"/>
      <c r="V1423" s="321"/>
      <c r="W1423" s="321"/>
      <c r="X1423" s="321"/>
      <c r="Y1423" s="322"/>
    </row>
    <row r="1424" spans="1:25" ht="15.75" thickBot="1" x14ac:dyDescent="0.3">
      <c r="A1424" s="323"/>
      <c r="B1424" s="324"/>
      <c r="C1424" s="324"/>
      <c r="D1424" s="324"/>
      <c r="E1424" s="324"/>
      <c r="F1424" s="324"/>
      <c r="G1424" s="324"/>
      <c r="H1424" s="324"/>
      <c r="I1424" s="324"/>
      <c r="J1424" s="324"/>
      <c r="K1424" s="324"/>
      <c r="L1424" s="324"/>
      <c r="M1424" s="324"/>
      <c r="N1424" s="324"/>
      <c r="O1424" s="324"/>
      <c r="P1424" s="324"/>
      <c r="Q1424" s="324"/>
      <c r="R1424" s="324"/>
      <c r="S1424" s="324"/>
      <c r="T1424" s="324"/>
      <c r="U1424" s="324"/>
      <c r="V1424" s="324"/>
      <c r="W1424" s="324"/>
      <c r="X1424" s="324"/>
      <c r="Y1424" s="325"/>
    </row>
    <row r="1426" spans="1:25" ht="15.75" thickBot="1" x14ac:dyDescent="0.3">
      <c r="A1426" s="326" t="s">
        <v>29</v>
      </c>
      <c r="B1426" s="326"/>
      <c r="C1426" s="326"/>
      <c r="D1426" s="326"/>
    </row>
    <row r="1427" spans="1:25" x14ac:dyDescent="0.25">
      <c r="A1427" s="317" t="s">
        <v>525</v>
      </c>
      <c r="B1427" s="318"/>
      <c r="C1427" s="318"/>
      <c r="D1427" s="318"/>
      <c r="E1427" s="318"/>
      <c r="F1427" s="318"/>
      <c r="G1427" s="318"/>
      <c r="H1427" s="318"/>
      <c r="I1427" s="318"/>
      <c r="J1427" s="318"/>
      <c r="K1427" s="318"/>
      <c r="L1427" s="318"/>
      <c r="M1427" s="318"/>
      <c r="N1427" s="318"/>
      <c r="O1427" s="318"/>
      <c r="P1427" s="318"/>
      <c r="Q1427" s="318"/>
      <c r="R1427" s="318"/>
      <c r="S1427" s="318"/>
      <c r="T1427" s="318"/>
      <c r="U1427" s="318"/>
      <c r="V1427" s="318"/>
      <c r="W1427" s="318"/>
      <c r="X1427" s="318"/>
      <c r="Y1427" s="319"/>
    </row>
    <row r="1428" spans="1:25" x14ac:dyDescent="0.25">
      <c r="A1428" s="320"/>
      <c r="B1428" s="321"/>
      <c r="C1428" s="321"/>
      <c r="D1428" s="321"/>
      <c r="E1428" s="321"/>
      <c r="F1428" s="321"/>
      <c r="G1428" s="321"/>
      <c r="H1428" s="321"/>
      <c r="I1428" s="321"/>
      <c r="J1428" s="321"/>
      <c r="K1428" s="321"/>
      <c r="L1428" s="321"/>
      <c r="M1428" s="321"/>
      <c r="N1428" s="321"/>
      <c r="O1428" s="321"/>
      <c r="P1428" s="321"/>
      <c r="Q1428" s="321"/>
      <c r="R1428" s="321"/>
      <c r="S1428" s="321"/>
      <c r="T1428" s="321"/>
      <c r="U1428" s="321"/>
      <c r="V1428" s="321"/>
      <c r="W1428" s="321"/>
      <c r="X1428" s="321"/>
      <c r="Y1428" s="322"/>
    </row>
    <row r="1429" spans="1:25" x14ac:dyDescent="0.25">
      <c r="A1429" s="320"/>
      <c r="B1429" s="321"/>
      <c r="C1429" s="321"/>
      <c r="D1429" s="321"/>
      <c r="E1429" s="321"/>
      <c r="F1429" s="321"/>
      <c r="G1429" s="321"/>
      <c r="H1429" s="321"/>
      <c r="I1429" s="321"/>
      <c r="J1429" s="321"/>
      <c r="K1429" s="321"/>
      <c r="L1429" s="321"/>
      <c r="M1429" s="321"/>
      <c r="N1429" s="321"/>
      <c r="O1429" s="321"/>
      <c r="P1429" s="321"/>
      <c r="Q1429" s="321"/>
      <c r="R1429" s="321"/>
      <c r="S1429" s="321"/>
      <c r="T1429" s="321"/>
      <c r="U1429" s="321"/>
      <c r="V1429" s="321"/>
      <c r="W1429" s="321"/>
      <c r="X1429" s="321"/>
      <c r="Y1429" s="322"/>
    </row>
    <row r="1430" spans="1:25" x14ac:dyDescent="0.25">
      <c r="A1430" s="320"/>
      <c r="B1430" s="321"/>
      <c r="C1430" s="321"/>
      <c r="D1430" s="321"/>
      <c r="E1430" s="321"/>
      <c r="F1430" s="321"/>
      <c r="G1430" s="321"/>
      <c r="H1430" s="321"/>
      <c r="I1430" s="321"/>
      <c r="J1430" s="321"/>
      <c r="K1430" s="321"/>
      <c r="L1430" s="321"/>
      <c r="M1430" s="321"/>
      <c r="N1430" s="321"/>
      <c r="O1430" s="321"/>
      <c r="P1430" s="321"/>
      <c r="Q1430" s="321"/>
      <c r="R1430" s="321"/>
      <c r="S1430" s="321"/>
      <c r="T1430" s="321"/>
      <c r="U1430" s="321"/>
      <c r="V1430" s="321"/>
      <c r="W1430" s="321"/>
      <c r="X1430" s="321"/>
      <c r="Y1430" s="322"/>
    </row>
    <row r="1431" spans="1:25" x14ac:dyDescent="0.25">
      <c r="A1431" s="320"/>
      <c r="B1431" s="321"/>
      <c r="C1431" s="321"/>
      <c r="D1431" s="321"/>
      <c r="E1431" s="321"/>
      <c r="F1431" s="321"/>
      <c r="G1431" s="321"/>
      <c r="H1431" s="321"/>
      <c r="I1431" s="321"/>
      <c r="J1431" s="321"/>
      <c r="K1431" s="321"/>
      <c r="L1431" s="321"/>
      <c r="M1431" s="321"/>
      <c r="N1431" s="321"/>
      <c r="O1431" s="321"/>
      <c r="P1431" s="321"/>
      <c r="Q1431" s="321"/>
      <c r="R1431" s="321"/>
      <c r="S1431" s="321"/>
      <c r="T1431" s="321"/>
      <c r="U1431" s="321"/>
      <c r="V1431" s="321"/>
      <c r="W1431" s="321"/>
      <c r="X1431" s="321"/>
      <c r="Y1431" s="322"/>
    </row>
    <row r="1432" spans="1:25" x14ac:dyDescent="0.25">
      <c r="A1432" s="320"/>
      <c r="B1432" s="321"/>
      <c r="C1432" s="321"/>
      <c r="D1432" s="321"/>
      <c r="E1432" s="321"/>
      <c r="F1432" s="321"/>
      <c r="G1432" s="321"/>
      <c r="H1432" s="321"/>
      <c r="I1432" s="321"/>
      <c r="J1432" s="321"/>
      <c r="K1432" s="321"/>
      <c r="L1432" s="321"/>
      <c r="M1432" s="321"/>
      <c r="N1432" s="321"/>
      <c r="O1432" s="321"/>
      <c r="P1432" s="321"/>
      <c r="Q1432" s="321"/>
      <c r="R1432" s="321"/>
      <c r="S1432" s="321"/>
      <c r="T1432" s="321"/>
      <c r="U1432" s="321"/>
      <c r="V1432" s="321"/>
      <c r="W1432" s="321"/>
      <c r="X1432" s="321"/>
      <c r="Y1432" s="322"/>
    </row>
    <row r="1433" spans="1:25" ht="15.75" thickBot="1" x14ac:dyDescent="0.3">
      <c r="A1433" s="323"/>
      <c r="B1433" s="324"/>
      <c r="C1433" s="324"/>
      <c r="D1433" s="324"/>
      <c r="E1433" s="324"/>
      <c r="F1433" s="324"/>
      <c r="G1433" s="324"/>
      <c r="H1433" s="324"/>
      <c r="I1433" s="324"/>
      <c r="J1433" s="324"/>
      <c r="K1433" s="324"/>
      <c r="L1433" s="324"/>
      <c r="M1433" s="324"/>
      <c r="N1433" s="324"/>
      <c r="O1433" s="324"/>
      <c r="P1433" s="324"/>
      <c r="Q1433" s="324"/>
      <c r="R1433" s="324"/>
      <c r="S1433" s="324"/>
      <c r="T1433" s="324"/>
      <c r="U1433" s="324"/>
      <c r="V1433" s="324"/>
      <c r="W1433" s="324"/>
      <c r="X1433" s="324"/>
      <c r="Y1433" s="325"/>
    </row>
    <row r="1435" spans="1:25" ht="15.75" thickBot="1" x14ac:dyDescent="0.3">
      <c r="A1435" s="326" t="s">
        <v>27</v>
      </c>
      <c r="B1435" s="326"/>
      <c r="C1435" s="326"/>
      <c r="D1435" s="326"/>
      <c r="E1435" s="326"/>
      <c r="F1435" s="326"/>
      <c r="G1435" s="326"/>
      <c r="H1435" s="326"/>
    </row>
    <row r="1436" spans="1:25" ht="15.75" thickBot="1" x14ac:dyDescent="0.3">
      <c r="A1436" s="327" t="s">
        <v>272</v>
      </c>
      <c r="B1436" s="328"/>
      <c r="C1436" s="328"/>
      <c r="D1436" s="328"/>
      <c r="E1436" s="328"/>
      <c r="F1436" s="328"/>
      <c r="G1436" s="328"/>
      <c r="H1436" s="328"/>
      <c r="I1436" s="328"/>
      <c r="J1436" s="328"/>
      <c r="K1436" s="328"/>
      <c r="L1436" s="328"/>
      <c r="M1436" s="328"/>
      <c r="N1436" s="328"/>
      <c r="O1436" s="328"/>
      <c r="P1436" s="328"/>
      <c r="Q1436" s="328"/>
      <c r="R1436" s="328"/>
      <c r="S1436" s="328"/>
      <c r="T1436" s="328"/>
      <c r="U1436" s="328"/>
      <c r="V1436" s="328"/>
      <c r="W1436" s="328"/>
      <c r="X1436" s="328"/>
      <c r="Y1436" s="329"/>
    </row>
    <row r="1438" spans="1:25" ht="15.75" thickBot="1" x14ac:dyDescent="0.3">
      <c r="A1438" s="326" t="s">
        <v>121</v>
      </c>
      <c r="B1438" s="326"/>
      <c r="C1438" s="326"/>
      <c r="E1438" s="326" t="s">
        <v>122</v>
      </c>
      <c r="F1438" s="326"/>
      <c r="G1438" s="326"/>
    </row>
    <row r="1439" spans="1:25" ht="15.75" thickBot="1" x14ac:dyDescent="0.3">
      <c r="A1439" s="330" t="s">
        <v>64</v>
      </c>
      <c r="B1439" s="331"/>
      <c r="E1439" s="330" t="s">
        <v>66</v>
      </c>
      <c r="F1439" s="331"/>
    </row>
    <row r="1442" spans="1:25" ht="19.5" thickBot="1" x14ac:dyDescent="0.35">
      <c r="A1442" s="332" t="s">
        <v>528</v>
      </c>
      <c r="B1442" s="332"/>
      <c r="C1442" s="332"/>
      <c r="D1442" s="332"/>
      <c r="E1442" s="332"/>
      <c r="F1442" s="332"/>
      <c r="H1442" s="332" t="s">
        <v>529</v>
      </c>
      <c r="I1442" s="332"/>
      <c r="J1442" s="332"/>
    </row>
    <row r="1443" spans="1:25" x14ac:dyDescent="0.25">
      <c r="A1443" s="317" t="s">
        <v>550</v>
      </c>
      <c r="B1443" s="318"/>
      <c r="C1443" s="318"/>
      <c r="D1443" s="318"/>
      <c r="E1443" s="318"/>
      <c r="F1443" s="318"/>
      <c r="G1443" s="318"/>
      <c r="H1443" s="318"/>
      <c r="I1443" s="318"/>
      <c r="J1443" s="318"/>
      <c r="K1443" s="318"/>
      <c r="L1443" s="318"/>
      <c r="M1443" s="318"/>
      <c r="N1443" s="318"/>
      <c r="O1443" s="318"/>
      <c r="P1443" s="318"/>
      <c r="Q1443" s="318"/>
      <c r="R1443" s="318"/>
      <c r="S1443" s="318"/>
      <c r="T1443" s="318"/>
      <c r="U1443" s="318"/>
      <c r="V1443" s="318"/>
      <c r="W1443" s="318"/>
      <c r="X1443" s="318"/>
      <c r="Y1443" s="319"/>
    </row>
    <row r="1444" spans="1:25" x14ac:dyDescent="0.25">
      <c r="A1444" s="320"/>
      <c r="B1444" s="321"/>
      <c r="C1444" s="321"/>
      <c r="D1444" s="321"/>
      <c r="E1444" s="321"/>
      <c r="F1444" s="321"/>
      <c r="G1444" s="321"/>
      <c r="H1444" s="321"/>
      <c r="I1444" s="321"/>
      <c r="J1444" s="321"/>
      <c r="K1444" s="321"/>
      <c r="L1444" s="321"/>
      <c r="M1444" s="321"/>
      <c r="N1444" s="321"/>
      <c r="O1444" s="321"/>
      <c r="P1444" s="321"/>
      <c r="Q1444" s="321"/>
      <c r="R1444" s="321"/>
      <c r="S1444" s="321"/>
      <c r="T1444" s="321"/>
      <c r="U1444" s="321"/>
      <c r="V1444" s="321"/>
      <c r="W1444" s="321"/>
      <c r="X1444" s="321"/>
      <c r="Y1444" s="322"/>
    </row>
    <row r="1445" spans="1:25" x14ac:dyDescent="0.25">
      <c r="A1445" s="320"/>
      <c r="B1445" s="321"/>
      <c r="C1445" s="321"/>
      <c r="D1445" s="321"/>
      <c r="E1445" s="321"/>
      <c r="F1445" s="321"/>
      <c r="G1445" s="321"/>
      <c r="H1445" s="321"/>
      <c r="I1445" s="321"/>
      <c r="J1445" s="321"/>
      <c r="K1445" s="321"/>
      <c r="L1445" s="321"/>
      <c r="M1445" s="321"/>
      <c r="N1445" s="321"/>
      <c r="O1445" s="321"/>
      <c r="P1445" s="321"/>
      <c r="Q1445" s="321"/>
      <c r="R1445" s="321"/>
      <c r="S1445" s="321"/>
      <c r="T1445" s="321"/>
      <c r="U1445" s="321"/>
      <c r="V1445" s="321"/>
      <c r="W1445" s="321"/>
      <c r="X1445" s="321"/>
      <c r="Y1445" s="322"/>
    </row>
    <row r="1446" spans="1:25" x14ac:dyDescent="0.25">
      <c r="A1446" s="320"/>
      <c r="B1446" s="321"/>
      <c r="C1446" s="321"/>
      <c r="D1446" s="321"/>
      <c r="E1446" s="321"/>
      <c r="F1446" s="321"/>
      <c r="G1446" s="321"/>
      <c r="H1446" s="321"/>
      <c r="I1446" s="321"/>
      <c r="J1446" s="321"/>
      <c r="K1446" s="321"/>
      <c r="L1446" s="321"/>
      <c r="M1446" s="321"/>
      <c r="N1446" s="321"/>
      <c r="O1446" s="321"/>
      <c r="P1446" s="321"/>
      <c r="Q1446" s="321"/>
      <c r="R1446" s="321"/>
      <c r="S1446" s="321"/>
      <c r="T1446" s="321"/>
      <c r="U1446" s="321"/>
      <c r="V1446" s="321"/>
      <c r="W1446" s="321"/>
      <c r="X1446" s="321"/>
      <c r="Y1446" s="322"/>
    </row>
    <row r="1447" spans="1:25" x14ac:dyDescent="0.25">
      <c r="A1447" s="320"/>
      <c r="B1447" s="321"/>
      <c r="C1447" s="321"/>
      <c r="D1447" s="321"/>
      <c r="E1447" s="321"/>
      <c r="F1447" s="321"/>
      <c r="G1447" s="321"/>
      <c r="H1447" s="321"/>
      <c r="I1447" s="321"/>
      <c r="J1447" s="321"/>
      <c r="K1447" s="321"/>
      <c r="L1447" s="321"/>
      <c r="M1447" s="321"/>
      <c r="N1447" s="321"/>
      <c r="O1447" s="321"/>
      <c r="P1447" s="321"/>
      <c r="Q1447" s="321"/>
      <c r="R1447" s="321"/>
      <c r="S1447" s="321"/>
      <c r="T1447" s="321"/>
      <c r="U1447" s="321"/>
      <c r="V1447" s="321"/>
      <c r="W1447" s="321"/>
      <c r="X1447" s="321"/>
      <c r="Y1447" s="322"/>
    </row>
    <row r="1448" spans="1:25" x14ac:dyDescent="0.25">
      <c r="A1448" s="320"/>
      <c r="B1448" s="321"/>
      <c r="C1448" s="321"/>
      <c r="D1448" s="321"/>
      <c r="E1448" s="321"/>
      <c r="F1448" s="321"/>
      <c r="G1448" s="321"/>
      <c r="H1448" s="321"/>
      <c r="I1448" s="321"/>
      <c r="J1448" s="321"/>
      <c r="K1448" s="321"/>
      <c r="L1448" s="321"/>
      <c r="M1448" s="321"/>
      <c r="N1448" s="321"/>
      <c r="O1448" s="321"/>
      <c r="P1448" s="321"/>
      <c r="Q1448" s="321"/>
      <c r="R1448" s="321"/>
      <c r="S1448" s="321"/>
      <c r="T1448" s="321"/>
      <c r="U1448" s="321"/>
      <c r="V1448" s="321"/>
      <c r="W1448" s="321"/>
      <c r="X1448" s="321"/>
      <c r="Y1448" s="322"/>
    </row>
    <row r="1449" spans="1:25" x14ac:dyDescent="0.25">
      <c r="A1449" s="320"/>
      <c r="B1449" s="321"/>
      <c r="C1449" s="321"/>
      <c r="D1449" s="321"/>
      <c r="E1449" s="321"/>
      <c r="F1449" s="321"/>
      <c r="G1449" s="321"/>
      <c r="H1449" s="321"/>
      <c r="I1449" s="321"/>
      <c r="J1449" s="321"/>
      <c r="K1449" s="321"/>
      <c r="L1449" s="321"/>
      <c r="M1449" s="321"/>
      <c r="N1449" s="321"/>
      <c r="O1449" s="321"/>
      <c r="P1449" s="321"/>
      <c r="Q1449" s="321"/>
      <c r="R1449" s="321"/>
      <c r="S1449" s="321"/>
      <c r="T1449" s="321"/>
      <c r="U1449" s="321"/>
      <c r="V1449" s="321"/>
      <c r="W1449" s="321"/>
      <c r="X1449" s="321"/>
      <c r="Y1449" s="322"/>
    </row>
    <row r="1450" spans="1:25" x14ac:dyDescent="0.25">
      <c r="A1450" s="320"/>
      <c r="B1450" s="321"/>
      <c r="C1450" s="321"/>
      <c r="D1450" s="321"/>
      <c r="E1450" s="321"/>
      <c r="F1450" s="321"/>
      <c r="G1450" s="321"/>
      <c r="H1450" s="321"/>
      <c r="I1450" s="321"/>
      <c r="J1450" s="321"/>
      <c r="K1450" s="321"/>
      <c r="L1450" s="321"/>
      <c r="M1450" s="321"/>
      <c r="N1450" s="321"/>
      <c r="O1450" s="321"/>
      <c r="P1450" s="321"/>
      <c r="Q1450" s="321"/>
      <c r="R1450" s="321"/>
      <c r="S1450" s="321"/>
      <c r="T1450" s="321"/>
      <c r="U1450" s="321"/>
      <c r="V1450" s="321"/>
      <c r="W1450" s="321"/>
      <c r="X1450" s="321"/>
      <c r="Y1450" s="322"/>
    </row>
    <row r="1451" spans="1:25" x14ac:dyDescent="0.25">
      <c r="A1451" s="320"/>
      <c r="B1451" s="321"/>
      <c r="C1451" s="321"/>
      <c r="D1451" s="321"/>
      <c r="E1451" s="321"/>
      <c r="F1451" s="321"/>
      <c r="G1451" s="321"/>
      <c r="H1451" s="321"/>
      <c r="I1451" s="321"/>
      <c r="J1451" s="321"/>
      <c r="K1451" s="321"/>
      <c r="L1451" s="321"/>
      <c r="M1451" s="321"/>
      <c r="N1451" s="321"/>
      <c r="O1451" s="321"/>
      <c r="P1451" s="321"/>
      <c r="Q1451" s="321"/>
      <c r="R1451" s="321"/>
      <c r="S1451" s="321"/>
      <c r="T1451" s="321"/>
      <c r="U1451" s="321"/>
      <c r="V1451" s="321"/>
      <c r="W1451" s="321"/>
      <c r="X1451" s="321"/>
      <c r="Y1451" s="322"/>
    </row>
    <row r="1452" spans="1:25" x14ac:dyDescent="0.25">
      <c r="A1452" s="320"/>
      <c r="B1452" s="321"/>
      <c r="C1452" s="321"/>
      <c r="D1452" s="321"/>
      <c r="E1452" s="321"/>
      <c r="F1452" s="321"/>
      <c r="G1452" s="321"/>
      <c r="H1452" s="321"/>
      <c r="I1452" s="321"/>
      <c r="J1452" s="321"/>
      <c r="K1452" s="321"/>
      <c r="L1452" s="321"/>
      <c r="M1452" s="321"/>
      <c r="N1452" s="321"/>
      <c r="O1452" s="321"/>
      <c r="P1452" s="321"/>
      <c r="Q1452" s="321"/>
      <c r="R1452" s="321"/>
      <c r="S1452" s="321"/>
      <c r="T1452" s="321"/>
      <c r="U1452" s="321"/>
      <c r="V1452" s="321"/>
      <c r="W1452" s="321"/>
      <c r="X1452" s="321"/>
      <c r="Y1452" s="322"/>
    </row>
    <row r="1453" spans="1:25" x14ac:dyDescent="0.25">
      <c r="A1453" s="320"/>
      <c r="B1453" s="321"/>
      <c r="C1453" s="321"/>
      <c r="D1453" s="321"/>
      <c r="E1453" s="321"/>
      <c r="F1453" s="321"/>
      <c r="G1453" s="321"/>
      <c r="H1453" s="321"/>
      <c r="I1453" s="321"/>
      <c r="J1453" s="321"/>
      <c r="K1453" s="321"/>
      <c r="L1453" s="321"/>
      <c r="M1453" s="321"/>
      <c r="N1453" s="321"/>
      <c r="O1453" s="321"/>
      <c r="P1453" s="321"/>
      <c r="Q1453" s="321"/>
      <c r="R1453" s="321"/>
      <c r="S1453" s="321"/>
      <c r="T1453" s="321"/>
      <c r="U1453" s="321"/>
      <c r="V1453" s="321"/>
      <c r="W1453" s="321"/>
      <c r="X1453" s="321"/>
      <c r="Y1453" s="322"/>
    </row>
    <row r="1454" spans="1:25" x14ac:dyDescent="0.25">
      <c r="A1454" s="320"/>
      <c r="B1454" s="321"/>
      <c r="C1454" s="321"/>
      <c r="D1454" s="321"/>
      <c r="E1454" s="321"/>
      <c r="F1454" s="321"/>
      <c r="G1454" s="321"/>
      <c r="H1454" s="321"/>
      <c r="I1454" s="321"/>
      <c r="J1454" s="321"/>
      <c r="K1454" s="321"/>
      <c r="L1454" s="321"/>
      <c r="M1454" s="321"/>
      <c r="N1454" s="321"/>
      <c r="O1454" s="321"/>
      <c r="P1454" s="321"/>
      <c r="Q1454" s="321"/>
      <c r="R1454" s="321"/>
      <c r="S1454" s="321"/>
      <c r="T1454" s="321"/>
      <c r="U1454" s="321"/>
      <c r="V1454" s="321"/>
      <c r="W1454" s="321"/>
      <c r="X1454" s="321"/>
      <c r="Y1454" s="322"/>
    </row>
    <row r="1455" spans="1:25" x14ac:dyDescent="0.25">
      <c r="A1455" s="320"/>
      <c r="B1455" s="321"/>
      <c r="C1455" s="321"/>
      <c r="D1455" s="321"/>
      <c r="E1455" s="321"/>
      <c r="F1455" s="321"/>
      <c r="G1455" s="321"/>
      <c r="H1455" s="321"/>
      <c r="I1455" s="321"/>
      <c r="J1455" s="321"/>
      <c r="K1455" s="321"/>
      <c r="L1455" s="321"/>
      <c r="M1455" s="321"/>
      <c r="N1455" s="321"/>
      <c r="O1455" s="321"/>
      <c r="P1455" s="321"/>
      <c r="Q1455" s="321"/>
      <c r="R1455" s="321"/>
      <c r="S1455" s="321"/>
      <c r="T1455" s="321"/>
      <c r="U1455" s="321"/>
      <c r="V1455" s="321"/>
      <c r="W1455" s="321"/>
      <c r="X1455" s="321"/>
      <c r="Y1455" s="322"/>
    </row>
    <row r="1456" spans="1:25" ht="15.75" thickBot="1" x14ac:dyDescent="0.3">
      <c r="A1456" s="323"/>
      <c r="B1456" s="324"/>
      <c r="C1456" s="324"/>
      <c r="D1456" s="324"/>
      <c r="E1456" s="324"/>
      <c r="F1456" s="324"/>
      <c r="G1456" s="324"/>
      <c r="H1456" s="324"/>
      <c r="I1456" s="324"/>
      <c r="J1456" s="324"/>
      <c r="K1456" s="324"/>
      <c r="L1456" s="324"/>
      <c r="M1456" s="324"/>
      <c r="N1456" s="324"/>
      <c r="O1456" s="324"/>
      <c r="P1456" s="324"/>
      <c r="Q1456" s="324"/>
      <c r="R1456" s="324"/>
      <c r="S1456" s="324"/>
      <c r="T1456" s="324"/>
      <c r="U1456" s="324"/>
      <c r="V1456" s="324"/>
      <c r="W1456" s="324"/>
      <c r="X1456" s="324"/>
      <c r="Y1456" s="325"/>
    </row>
    <row r="1458" spans="1:25" ht="15.75" thickBot="1" x14ac:dyDescent="0.3">
      <c r="A1458" s="326" t="s">
        <v>29</v>
      </c>
      <c r="B1458" s="326"/>
      <c r="C1458" s="326"/>
      <c r="D1458" s="326"/>
    </row>
    <row r="1459" spans="1:25" x14ac:dyDescent="0.25">
      <c r="A1459" s="317" t="s">
        <v>530</v>
      </c>
      <c r="B1459" s="318"/>
      <c r="C1459" s="318"/>
      <c r="D1459" s="318"/>
      <c r="E1459" s="318"/>
      <c r="F1459" s="318"/>
      <c r="G1459" s="318"/>
      <c r="H1459" s="318"/>
      <c r="I1459" s="318"/>
      <c r="J1459" s="318"/>
      <c r="K1459" s="318"/>
      <c r="L1459" s="318"/>
      <c r="M1459" s="318"/>
      <c r="N1459" s="318"/>
      <c r="O1459" s="318"/>
      <c r="P1459" s="318"/>
      <c r="Q1459" s="318"/>
      <c r="R1459" s="318"/>
      <c r="S1459" s="318"/>
      <c r="T1459" s="318"/>
      <c r="U1459" s="318"/>
      <c r="V1459" s="318"/>
      <c r="W1459" s="318"/>
      <c r="X1459" s="318"/>
      <c r="Y1459" s="319"/>
    </row>
    <row r="1460" spans="1:25" x14ac:dyDescent="0.25">
      <c r="A1460" s="320"/>
      <c r="B1460" s="321"/>
      <c r="C1460" s="321"/>
      <c r="D1460" s="321"/>
      <c r="E1460" s="321"/>
      <c r="F1460" s="321"/>
      <c r="G1460" s="321"/>
      <c r="H1460" s="321"/>
      <c r="I1460" s="321"/>
      <c r="J1460" s="321"/>
      <c r="K1460" s="321"/>
      <c r="L1460" s="321"/>
      <c r="M1460" s="321"/>
      <c r="N1460" s="321"/>
      <c r="O1460" s="321"/>
      <c r="P1460" s="321"/>
      <c r="Q1460" s="321"/>
      <c r="R1460" s="321"/>
      <c r="S1460" s="321"/>
      <c r="T1460" s="321"/>
      <c r="U1460" s="321"/>
      <c r="V1460" s="321"/>
      <c r="W1460" s="321"/>
      <c r="X1460" s="321"/>
      <c r="Y1460" s="322"/>
    </row>
    <row r="1461" spans="1:25" x14ac:dyDescent="0.25">
      <c r="A1461" s="320"/>
      <c r="B1461" s="321"/>
      <c r="C1461" s="321"/>
      <c r="D1461" s="321"/>
      <c r="E1461" s="321"/>
      <c r="F1461" s="321"/>
      <c r="G1461" s="321"/>
      <c r="H1461" s="321"/>
      <c r="I1461" s="321"/>
      <c r="J1461" s="321"/>
      <c r="K1461" s="321"/>
      <c r="L1461" s="321"/>
      <c r="M1461" s="321"/>
      <c r="N1461" s="321"/>
      <c r="O1461" s="321"/>
      <c r="P1461" s="321"/>
      <c r="Q1461" s="321"/>
      <c r="R1461" s="321"/>
      <c r="S1461" s="321"/>
      <c r="T1461" s="321"/>
      <c r="U1461" s="321"/>
      <c r="V1461" s="321"/>
      <c r="W1461" s="321"/>
      <c r="X1461" s="321"/>
      <c r="Y1461" s="322"/>
    </row>
    <row r="1462" spans="1:25" x14ac:dyDescent="0.25">
      <c r="A1462" s="320"/>
      <c r="B1462" s="321"/>
      <c r="C1462" s="321"/>
      <c r="D1462" s="321"/>
      <c r="E1462" s="321"/>
      <c r="F1462" s="321"/>
      <c r="G1462" s="321"/>
      <c r="H1462" s="321"/>
      <c r="I1462" s="321"/>
      <c r="J1462" s="321"/>
      <c r="K1462" s="321"/>
      <c r="L1462" s="321"/>
      <c r="M1462" s="321"/>
      <c r="N1462" s="321"/>
      <c r="O1462" s="321"/>
      <c r="P1462" s="321"/>
      <c r="Q1462" s="321"/>
      <c r="R1462" s="321"/>
      <c r="S1462" s="321"/>
      <c r="T1462" s="321"/>
      <c r="U1462" s="321"/>
      <c r="V1462" s="321"/>
      <c r="W1462" s="321"/>
      <c r="X1462" s="321"/>
      <c r="Y1462" s="322"/>
    </row>
    <row r="1463" spans="1:25" x14ac:dyDescent="0.25">
      <c r="A1463" s="320"/>
      <c r="B1463" s="321"/>
      <c r="C1463" s="321"/>
      <c r="D1463" s="321"/>
      <c r="E1463" s="321"/>
      <c r="F1463" s="321"/>
      <c r="G1463" s="321"/>
      <c r="H1463" s="321"/>
      <c r="I1463" s="321"/>
      <c r="J1463" s="321"/>
      <c r="K1463" s="321"/>
      <c r="L1463" s="321"/>
      <c r="M1463" s="321"/>
      <c r="N1463" s="321"/>
      <c r="O1463" s="321"/>
      <c r="P1463" s="321"/>
      <c r="Q1463" s="321"/>
      <c r="R1463" s="321"/>
      <c r="S1463" s="321"/>
      <c r="T1463" s="321"/>
      <c r="U1463" s="321"/>
      <c r="V1463" s="321"/>
      <c r="W1463" s="321"/>
      <c r="X1463" s="321"/>
      <c r="Y1463" s="322"/>
    </row>
    <row r="1464" spans="1:25" x14ac:dyDescent="0.25">
      <c r="A1464" s="320"/>
      <c r="B1464" s="321"/>
      <c r="C1464" s="321"/>
      <c r="D1464" s="321"/>
      <c r="E1464" s="321"/>
      <c r="F1464" s="321"/>
      <c r="G1464" s="321"/>
      <c r="H1464" s="321"/>
      <c r="I1464" s="321"/>
      <c r="J1464" s="321"/>
      <c r="K1464" s="321"/>
      <c r="L1464" s="321"/>
      <c r="M1464" s="321"/>
      <c r="N1464" s="321"/>
      <c r="O1464" s="321"/>
      <c r="P1464" s="321"/>
      <c r="Q1464" s="321"/>
      <c r="R1464" s="321"/>
      <c r="S1464" s="321"/>
      <c r="T1464" s="321"/>
      <c r="U1464" s="321"/>
      <c r="V1464" s="321"/>
      <c r="W1464" s="321"/>
      <c r="X1464" s="321"/>
      <c r="Y1464" s="322"/>
    </row>
    <row r="1465" spans="1:25" ht="15.75" thickBot="1" x14ac:dyDescent="0.3">
      <c r="A1465" s="323"/>
      <c r="B1465" s="324"/>
      <c r="C1465" s="324"/>
      <c r="D1465" s="324"/>
      <c r="E1465" s="324"/>
      <c r="F1465" s="324"/>
      <c r="G1465" s="324"/>
      <c r="H1465" s="324"/>
      <c r="I1465" s="324"/>
      <c r="J1465" s="324"/>
      <c r="K1465" s="324"/>
      <c r="L1465" s="324"/>
      <c r="M1465" s="324"/>
      <c r="N1465" s="324"/>
      <c r="O1465" s="324"/>
      <c r="P1465" s="324"/>
      <c r="Q1465" s="324"/>
      <c r="R1465" s="324"/>
      <c r="S1465" s="324"/>
      <c r="T1465" s="324"/>
      <c r="U1465" s="324"/>
      <c r="V1465" s="324"/>
      <c r="W1465" s="324"/>
      <c r="X1465" s="324"/>
      <c r="Y1465" s="325"/>
    </row>
    <row r="1467" spans="1:25" ht="15.75" thickBot="1" x14ac:dyDescent="0.3">
      <c r="A1467" s="326" t="s">
        <v>27</v>
      </c>
      <c r="B1467" s="326"/>
      <c r="C1467" s="326"/>
      <c r="D1467" s="326"/>
      <c r="E1467" s="326"/>
      <c r="F1467" s="326"/>
      <c r="G1467" s="326"/>
      <c r="H1467" s="326"/>
    </row>
    <row r="1468" spans="1:25" ht="15.75" thickBot="1" x14ac:dyDescent="0.3">
      <c r="A1468" s="327" t="s">
        <v>363</v>
      </c>
      <c r="B1468" s="328"/>
      <c r="C1468" s="328"/>
      <c r="D1468" s="328"/>
      <c r="E1468" s="328"/>
      <c r="F1468" s="328"/>
      <c r="G1468" s="328"/>
      <c r="H1468" s="328"/>
      <c r="I1468" s="328"/>
      <c r="J1468" s="328"/>
      <c r="K1468" s="328"/>
      <c r="L1468" s="328"/>
      <c r="M1468" s="328"/>
      <c r="N1468" s="328"/>
      <c r="O1468" s="328"/>
      <c r="P1468" s="328"/>
      <c r="Q1468" s="328"/>
      <c r="R1468" s="328"/>
      <c r="S1468" s="328"/>
      <c r="T1468" s="328"/>
      <c r="U1468" s="328"/>
      <c r="V1468" s="328"/>
      <c r="W1468" s="328"/>
      <c r="X1468" s="328"/>
      <c r="Y1468" s="329"/>
    </row>
    <row r="1470" spans="1:25" ht="15.75" thickBot="1" x14ac:dyDescent="0.3">
      <c r="A1470" s="326" t="s">
        <v>121</v>
      </c>
      <c r="B1470" s="326"/>
      <c r="C1470" s="326"/>
      <c r="E1470" s="326" t="s">
        <v>122</v>
      </c>
      <c r="F1470" s="326"/>
      <c r="G1470" s="326"/>
    </row>
    <row r="1471" spans="1:25" ht="15.75" thickBot="1" x14ac:dyDescent="0.3">
      <c r="A1471" s="330" t="s">
        <v>64</v>
      </c>
      <c r="B1471" s="331"/>
      <c r="E1471" s="330" t="s">
        <v>66</v>
      </c>
      <c r="F1471" s="331"/>
    </row>
    <row r="1473" spans="1:25" ht="19.5" thickBot="1" x14ac:dyDescent="0.35">
      <c r="A1473" s="332" t="s">
        <v>532</v>
      </c>
      <c r="B1473" s="332"/>
      <c r="C1473" s="332"/>
      <c r="D1473" s="332"/>
      <c r="E1473" s="332"/>
      <c r="F1473" s="332"/>
      <c r="H1473" s="332" t="s">
        <v>533</v>
      </c>
      <c r="I1473" s="332"/>
      <c r="J1473" s="332"/>
    </row>
    <row r="1474" spans="1:25" x14ac:dyDescent="0.25">
      <c r="A1474" s="317" t="s">
        <v>534</v>
      </c>
      <c r="B1474" s="318"/>
      <c r="C1474" s="318"/>
      <c r="D1474" s="318"/>
      <c r="E1474" s="318"/>
      <c r="F1474" s="318"/>
      <c r="G1474" s="318"/>
      <c r="H1474" s="318"/>
      <c r="I1474" s="318"/>
      <c r="J1474" s="318"/>
      <c r="K1474" s="318"/>
      <c r="L1474" s="318"/>
      <c r="M1474" s="318"/>
      <c r="N1474" s="318"/>
      <c r="O1474" s="318"/>
      <c r="P1474" s="318"/>
      <c r="Q1474" s="318"/>
      <c r="R1474" s="318"/>
      <c r="S1474" s="318"/>
      <c r="T1474" s="318"/>
      <c r="U1474" s="318"/>
      <c r="V1474" s="318"/>
      <c r="W1474" s="318"/>
      <c r="X1474" s="318"/>
      <c r="Y1474" s="319"/>
    </row>
    <row r="1475" spans="1:25" x14ac:dyDescent="0.25">
      <c r="A1475" s="320"/>
      <c r="B1475" s="321"/>
      <c r="C1475" s="321"/>
      <c r="D1475" s="321"/>
      <c r="E1475" s="321"/>
      <c r="F1475" s="321"/>
      <c r="G1475" s="321"/>
      <c r="H1475" s="321"/>
      <c r="I1475" s="321"/>
      <c r="J1475" s="321"/>
      <c r="K1475" s="321"/>
      <c r="L1475" s="321"/>
      <c r="M1475" s="321"/>
      <c r="N1475" s="321"/>
      <c r="O1475" s="321"/>
      <c r="P1475" s="321"/>
      <c r="Q1475" s="321"/>
      <c r="R1475" s="321"/>
      <c r="S1475" s="321"/>
      <c r="T1475" s="321"/>
      <c r="U1475" s="321"/>
      <c r="V1475" s="321"/>
      <c r="W1475" s="321"/>
      <c r="X1475" s="321"/>
      <c r="Y1475" s="322"/>
    </row>
    <row r="1476" spans="1:25" x14ac:dyDescent="0.25">
      <c r="A1476" s="320"/>
      <c r="B1476" s="321"/>
      <c r="C1476" s="321"/>
      <c r="D1476" s="321"/>
      <c r="E1476" s="321"/>
      <c r="F1476" s="321"/>
      <c r="G1476" s="321"/>
      <c r="H1476" s="321"/>
      <c r="I1476" s="321"/>
      <c r="J1476" s="321"/>
      <c r="K1476" s="321"/>
      <c r="L1476" s="321"/>
      <c r="M1476" s="321"/>
      <c r="N1476" s="321"/>
      <c r="O1476" s="321"/>
      <c r="P1476" s="321"/>
      <c r="Q1476" s="321"/>
      <c r="R1476" s="321"/>
      <c r="S1476" s="321"/>
      <c r="T1476" s="321"/>
      <c r="U1476" s="321"/>
      <c r="V1476" s="321"/>
      <c r="W1476" s="321"/>
      <c r="X1476" s="321"/>
      <c r="Y1476" s="322"/>
    </row>
    <row r="1477" spans="1:25" x14ac:dyDescent="0.25">
      <c r="A1477" s="320"/>
      <c r="B1477" s="321"/>
      <c r="C1477" s="321"/>
      <c r="D1477" s="321"/>
      <c r="E1477" s="321"/>
      <c r="F1477" s="321"/>
      <c r="G1477" s="321"/>
      <c r="H1477" s="321"/>
      <c r="I1477" s="321"/>
      <c r="J1477" s="321"/>
      <c r="K1477" s="321"/>
      <c r="L1477" s="321"/>
      <c r="M1477" s="321"/>
      <c r="N1477" s="321"/>
      <c r="O1477" s="321"/>
      <c r="P1477" s="321"/>
      <c r="Q1477" s="321"/>
      <c r="R1477" s="321"/>
      <c r="S1477" s="321"/>
      <c r="T1477" s="321"/>
      <c r="U1477" s="321"/>
      <c r="V1477" s="321"/>
      <c r="W1477" s="321"/>
      <c r="X1477" s="321"/>
      <c r="Y1477" s="322"/>
    </row>
    <row r="1478" spans="1:25" x14ac:dyDescent="0.25">
      <c r="A1478" s="320"/>
      <c r="B1478" s="321"/>
      <c r="C1478" s="321"/>
      <c r="D1478" s="321"/>
      <c r="E1478" s="321"/>
      <c r="F1478" s="321"/>
      <c r="G1478" s="321"/>
      <c r="H1478" s="321"/>
      <c r="I1478" s="321"/>
      <c r="J1478" s="321"/>
      <c r="K1478" s="321"/>
      <c r="L1478" s="321"/>
      <c r="M1478" s="321"/>
      <c r="N1478" s="321"/>
      <c r="O1478" s="321"/>
      <c r="P1478" s="321"/>
      <c r="Q1478" s="321"/>
      <c r="R1478" s="321"/>
      <c r="S1478" s="321"/>
      <c r="T1478" s="321"/>
      <c r="U1478" s="321"/>
      <c r="V1478" s="321"/>
      <c r="W1478" s="321"/>
      <c r="X1478" s="321"/>
      <c r="Y1478" s="322"/>
    </row>
    <row r="1479" spans="1:25" x14ac:dyDescent="0.25">
      <c r="A1479" s="320"/>
      <c r="B1479" s="321"/>
      <c r="C1479" s="321"/>
      <c r="D1479" s="321"/>
      <c r="E1479" s="321"/>
      <c r="F1479" s="321"/>
      <c r="G1479" s="321"/>
      <c r="H1479" s="321"/>
      <c r="I1479" s="321"/>
      <c r="J1479" s="321"/>
      <c r="K1479" s="321"/>
      <c r="L1479" s="321"/>
      <c r="M1479" s="321"/>
      <c r="N1479" s="321"/>
      <c r="O1479" s="321"/>
      <c r="P1479" s="321"/>
      <c r="Q1479" s="321"/>
      <c r="R1479" s="321"/>
      <c r="S1479" s="321"/>
      <c r="T1479" s="321"/>
      <c r="U1479" s="321"/>
      <c r="V1479" s="321"/>
      <c r="W1479" s="321"/>
      <c r="X1479" s="321"/>
      <c r="Y1479" s="322"/>
    </row>
    <row r="1480" spans="1:25" x14ac:dyDescent="0.25">
      <c r="A1480" s="320"/>
      <c r="B1480" s="321"/>
      <c r="C1480" s="321"/>
      <c r="D1480" s="321"/>
      <c r="E1480" s="321"/>
      <c r="F1480" s="321"/>
      <c r="G1480" s="321"/>
      <c r="H1480" s="321"/>
      <c r="I1480" s="321"/>
      <c r="J1480" s="321"/>
      <c r="K1480" s="321"/>
      <c r="L1480" s="321"/>
      <c r="M1480" s="321"/>
      <c r="N1480" s="321"/>
      <c r="O1480" s="321"/>
      <c r="P1480" s="321"/>
      <c r="Q1480" s="321"/>
      <c r="R1480" s="321"/>
      <c r="S1480" s="321"/>
      <c r="T1480" s="321"/>
      <c r="U1480" s="321"/>
      <c r="V1480" s="321"/>
      <c r="W1480" s="321"/>
      <c r="X1480" s="321"/>
      <c r="Y1480" s="322"/>
    </row>
    <row r="1481" spans="1:25" x14ac:dyDescent="0.25">
      <c r="A1481" s="320"/>
      <c r="B1481" s="321"/>
      <c r="C1481" s="321"/>
      <c r="D1481" s="321"/>
      <c r="E1481" s="321"/>
      <c r="F1481" s="321"/>
      <c r="G1481" s="321"/>
      <c r="H1481" s="321"/>
      <c r="I1481" s="321"/>
      <c r="J1481" s="321"/>
      <c r="K1481" s="321"/>
      <c r="L1481" s="321"/>
      <c r="M1481" s="321"/>
      <c r="N1481" s="321"/>
      <c r="O1481" s="321"/>
      <c r="P1481" s="321"/>
      <c r="Q1481" s="321"/>
      <c r="R1481" s="321"/>
      <c r="S1481" s="321"/>
      <c r="T1481" s="321"/>
      <c r="U1481" s="321"/>
      <c r="V1481" s="321"/>
      <c r="W1481" s="321"/>
      <c r="X1481" s="321"/>
      <c r="Y1481" s="322"/>
    </row>
    <row r="1482" spans="1:25" x14ac:dyDescent="0.25">
      <c r="A1482" s="320"/>
      <c r="B1482" s="321"/>
      <c r="C1482" s="321"/>
      <c r="D1482" s="321"/>
      <c r="E1482" s="321"/>
      <c r="F1482" s="321"/>
      <c r="G1482" s="321"/>
      <c r="H1482" s="321"/>
      <c r="I1482" s="321"/>
      <c r="J1482" s="321"/>
      <c r="K1482" s="321"/>
      <c r="L1482" s="321"/>
      <c r="M1482" s="321"/>
      <c r="N1482" s="321"/>
      <c r="O1482" s="321"/>
      <c r="P1482" s="321"/>
      <c r="Q1482" s="321"/>
      <c r="R1482" s="321"/>
      <c r="S1482" s="321"/>
      <c r="T1482" s="321"/>
      <c r="U1482" s="321"/>
      <c r="V1482" s="321"/>
      <c r="W1482" s="321"/>
      <c r="X1482" s="321"/>
      <c r="Y1482" s="322"/>
    </row>
    <row r="1483" spans="1:25" x14ac:dyDescent="0.25">
      <c r="A1483" s="320"/>
      <c r="B1483" s="321"/>
      <c r="C1483" s="321"/>
      <c r="D1483" s="321"/>
      <c r="E1483" s="321"/>
      <c r="F1483" s="321"/>
      <c r="G1483" s="321"/>
      <c r="H1483" s="321"/>
      <c r="I1483" s="321"/>
      <c r="J1483" s="321"/>
      <c r="K1483" s="321"/>
      <c r="L1483" s="321"/>
      <c r="M1483" s="321"/>
      <c r="N1483" s="321"/>
      <c r="O1483" s="321"/>
      <c r="P1483" s="321"/>
      <c r="Q1483" s="321"/>
      <c r="R1483" s="321"/>
      <c r="S1483" s="321"/>
      <c r="T1483" s="321"/>
      <c r="U1483" s="321"/>
      <c r="V1483" s="321"/>
      <c r="W1483" s="321"/>
      <c r="X1483" s="321"/>
      <c r="Y1483" s="322"/>
    </row>
    <row r="1484" spans="1:25" x14ac:dyDescent="0.25">
      <c r="A1484" s="320"/>
      <c r="B1484" s="321"/>
      <c r="C1484" s="321"/>
      <c r="D1484" s="321"/>
      <c r="E1484" s="321"/>
      <c r="F1484" s="321"/>
      <c r="G1484" s="321"/>
      <c r="H1484" s="321"/>
      <c r="I1484" s="321"/>
      <c r="J1484" s="321"/>
      <c r="K1484" s="321"/>
      <c r="L1484" s="321"/>
      <c r="M1484" s="321"/>
      <c r="N1484" s="321"/>
      <c r="O1484" s="321"/>
      <c r="P1484" s="321"/>
      <c r="Q1484" s="321"/>
      <c r="R1484" s="321"/>
      <c r="S1484" s="321"/>
      <c r="T1484" s="321"/>
      <c r="U1484" s="321"/>
      <c r="V1484" s="321"/>
      <c r="W1484" s="321"/>
      <c r="X1484" s="321"/>
      <c r="Y1484" s="322"/>
    </row>
    <row r="1485" spans="1:25" x14ac:dyDescent="0.25">
      <c r="A1485" s="320"/>
      <c r="B1485" s="321"/>
      <c r="C1485" s="321"/>
      <c r="D1485" s="321"/>
      <c r="E1485" s="321"/>
      <c r="F1485" s="321"/>
      <c r="G1485" s="321"/>
      <c r="H1485" s="321"/>
      <c r="I1485" s="321"/>
      <c r="J1485" s="321"/>
      <c r="K1485" s="321"/>
      <c r="L1485" s="321"/>
      <c r="M1485" s="321"/>
      <c r="N1485" s="321"/>
      <c r="O1485" s="321"/>
      <c r="P1485" s="321"/>
      <c r="Q1485" s="321"/>
      <c r="R1485" s="321"/>
      <c r="S1485" s="321"/>
      <c r="T1485" s="321"/>
      <c r="U1485" s="321"/>
      <c r="V1485" s="321"/>
      <c r="W1485" s="321"/>
      <c r="X1485" s="321"/>
      <c r="Y1485" s="322"/>
    </row>
    <row r="1486" spans="1:25" x14ac:dyDescent="0.25">
      <c r="A1486" s="320"/>
      <c r="B1486" s="321"/>
      <c r="C1486" s="321"/>
      <c r="D1486" s="321"/>
      <c r="E1486" s="321"/>
      <c r="F1486" s="321"/>
      <c r="G1486" s="321"/>
      <c r="H1486" s="321"/>
      <c r="I1486" s="321"/>
      <c r="J1486" s="321"/>
      <c r="K1486" s="321"/>
      <c r="L1486" s="321"/>
      <c r="M1486" s="321"/>
      <c r="N1486" s="321"/>
      <c r="O1486" s="321"/>
      <c r="P1486" s="321"/>
      <c r="Q1486" s="321"/>
      <c r="R1486" s="321"/>
      <c r="S1486" s="321"/>
      <c r="T1486" s="321"/>
      <c r="U1486" s="321"/>
      <c r="V1486" s="321"/>
      <c r="W1486" s="321"/>
      <c r="X1486" s="321"/>
      <c r="Y1486" s="322"/>
    </row>
    <row r="1487" spans="1:25" ht="15.75" thickBot="1" x14ac:dyDescent="0.3">
      <c r="A1487" s="323"/>
      <c r="B1487" s="324"/>
      <c r="C1487" s="324"/>
      <c r="D1487" s="324"/>
      <c r="E1487" s="324"/>
      <c r="F1487" s="324"/>
      <c r="G1487" s="324"/>
      <c r="H1487" s="324"/>
      <c r="I1487" s="324"/>
      <c r="J1487" s="324"/>
      <c r="K1487" s="324"/>
      <c r="L1487" s="324"/>
      <c r="M1487" s="324"/>
      <c r="N1487" s="324"/>
      <c r="O1487" s="324"/>
      <c r="P1487" s="324"/>
      <c r="Q1487" s="324"/>
      <c r="R1487" s="324"/>
      <c r="S1487" s="324"/>
      <c r="T1487" s="324"/>
      <c r="U1487" s="324"/>
      <c r="V1487" s="324"/>
      <c r="W1487" s="324"/>
      <c r="X1487" s="324"/>
      <c r="Y1487" s="325"/>
    </row>
    <row r="1489" spans="1:25" ht="15.75" thickBot="1" x14ac:dyDescent="0.3">
      <c r="A1489" s="326" t="s">
        <v>29</v>
      </c>
      <c r="B1489" s="326"/>
      <c r="C1489" s="326"/>
      <c r="D1489" s="326"/>
    </row>
    <row r="1490" spans="1:25" x14ac:dyDescent="0.25">
      <c r="A1490" s="317"/>
      <c r="B1490" s="318"/>
      <c r="C1490" s="318"/>
      <c r="D1490" s="318"/>
      <c r="E1490" s="318"/>
      <c r="F1490" s="318"/>
      <c r="G1490" s="318"/>
      <c r="H1490" s="318"/>
      <c r="I1490" s="318"/>
      <c r="J1490" s="318"/>
      <c r="K1490" s="318"/>
      <c r="L1490" s="318"/>
      <c r="M1490" s="318"/>
      <c r="N1490" s="318"/>
      <c r="O1490" s="318"/>
      <c r="P1490" s="318"/>
      <c r="Q1490" s="318"/>
      <c r="R1490" s="318"/>
      <c r="S1490" s="318"/>
      <c r="T1490" s="318"/>
      <c r="U1490" s="318"/>
      <c r="V1490" s="318"/>
      <c r="W1490" s="318"/>
      <c r="X1490" s="318"/>
      <c r="Y1490" s="319"/>
    </row>
    <row r="1491" spans="1:25" x14ac:dyDescent="0.25">
      <c r="A1491" s="320"/>
      <c r="B1491" s="321"/>
      <c r="C1491" s="321"/>
      <c r="D1491" s="321"/>
      <c r="E1491" s="321"/>
      <c r="F1491" s="321"/>
      <c r="G1491" s="321"/>
      <c r="H1491" s="321"/>
      <c r="I1491" s="321"/>
      <c r="J1491" s="321"/>
      <c r="K1491" s="321"/>
      <c r="L1491" s="321"/>
      <c r="M1491" s="321"/>
      <c r="N1491" s="321"/>
      <c r="O1491" s="321"/>
      <c r="P1491" s="321"/>
      <c r="Q1491" s="321"/>
      <c r="R1491" s="321"/>
      <c r="S1491" s="321"/>
      <c r="T1491" s="321"/>
      <c r="U1491" s="321"/>
      <c r="V1491" s="321"/>
      <c r="W1491" s="321"/>
      <c r="X1491" s="321"/>
      <c r="Y1491" s="322"/>
    </row>
    <row r="1492" spans="1:25" x14ac:dyDescent="0.25">
      <c r="A1492" s="320"/>
      <c r="B1492" s="321"/>
      <c r="C1492" s="321"/>
      <c r="D1492" s="321"/>
      <c r="E1492" s="321"/>
      <c r="F1492" s="321"/>
      <c r="G1492" s="321"/>
      <c r="H1492" s="321"/>
      <c r="I1492" s="321"/>
      <c r="J1492" s="321"/>
      <c r="K1492" s="321"/>
      <c r="L1492" s="321"/>
      <c r="M1492" s="321"/>
      <c r="N1492" s="321"/>
      <c r="O1492" s="321"/>
      <c r="P1492" s="321"/>
      <c r="Q1492" s="321"/>
      <c r="R1492" s="321"/>
      <c r="S1492" s="321"/>
      <c r="T1492" s="321"/>
      <c r="U1492" s="321"/>
      <c r="V1492" s="321"/>
      <c r="W1492" s="321"/>
      <c r="X1492" s="321"/>
      <c r="Y1492" s="322"/>
    </row>
    <row r="1493" spans="1:25" x14ac:dyDescent="0.25">
      <c r="A1493" s="320"/>
      <c r="B1493" s="321"/>
      <c r="C1493" s="321"/>
      <c r="D1493" s="321"/>
      <c r="E1493" s="321"/>
      <c r="F1493" s="321"/>
      <c r="G1493" s="321"/>
      <c r="H1493" s="321"/>
      <c r="I1493" s="321"/>
      <c r="J1493" s="321"/>
      <c r="K1493" s="321"/>
      <c r="L1493" s="321"/>
      <c r="M1493" s="321"/>
      <c r="N1493" s="321"/>
      <c r="O1493" s="321"/>
      <c r="P1493" s="321"/>
      <c r="Q1493" s="321"/>
      <c r="R1493" s="321"/>
      <c r="S1493" s="321"/>
      <c r="T1493" s="321"/>
      <c r="U1493" s="321"/>
      <c r="V1493" s="321"/>
      <c r="W1493" s="321"/>
      <c r="X1493" s="321"/>
      <c r="Y1493" s="322"/>
    </row>
    <row r="1494" spans="1:25" x14ac:dyDescent="0.25">
      <c r="A1494" s="320"/>
      <c r="B1494" s="321"/>
      <c r="C1494" s="321"/>
      <c r="D1494" s="321"/>
      <c r="E1494" s="321"/>
      <c r="F1494" s="321"/>
      <c r="G1494" s="321"/>
      <c r="H1494" s="321"/>
      <c r="I1494" s="321"/>
      <c r="J1494" s="321"/>
      <c r="K1494" s="321"/>
      <c r="L1494" s="321"/>
      <c r="M1494" s="321"/>
      <c r="N1494" s="321"/>
      <c r="O1494" s="321"/>
      <c r="P1494" s="321"/>
      <c r="Q1494" s="321"/>
      <c r="R1494" s="321"/>
      <c r="S1494" s="321"/>
      <c r="T1494" s="321"/>
      <c r="U1494" s="321"/>
      <c r="V1494" s="321"/>
      <c r="W1494" s="321"/>
      <c r="X1494" s="321"/>
      <c r="Y1494" s="322"/>
    </row>
    <row r="1495" spans="1:25" x14ac:dyDescent="0.25">
      <c r="A1495" s="320"/>
      <c r="B1495" s="321"/>
      <c r="C1495" s="321"/>
      <c r="D1495" s="321"/>
      <c r="E1495" s="321"/>
      <c r="F1495" s="321"/>
      <c r="G1495" s="321"/>
      <c r="H1495" s="321"/>
      <c r="I1495" s="321"/>
      <c r="J1495" s="321"/>
      <c r="K1495" s="321"/>
      <c r="L1495" s="321"/>
      <c r="M1495" s="321"/>
      <c r="N1495" s="321"/>
      <c r="O1495" s="321"/>
      <c r="P1495" s="321"/>
      <c r="Q1495" s="321"/>
      <c r="R1495" s="321"/>
      <c r="S1495" s="321"/>
      <c r="T1495" s="321"/>
      <c r="U1495" s="321"/>
      <c r="V1495" s="321"/>
      <c r="W1495" s="321"/>
      <c r="X1495" s="321"/>
      <c r="Y1495" s="322"/>
    </row>
    <row r="1496" spans="1:25" ht="15.75" thickBot="1" x14ac:dyDescent="0.3">
      <c r="A1496" s="323"/>
      <c r="B1496" s="324"/>
      <c r="C1496" s="324"/>
      <c r="D1496" s="324"/>
      <c r="E1496" s="324"/>
      <c r="F1496" s="324"/>
      <c r="G1496" s="324"/>
      <c r="H1496" s="324"/>
      <c r="I1496" s="324"/>
      <c r="J1496" s="324"/>
      <c r="K1496" s="324"/>
      <c r="L1496" s="324"/>
      <c r="M1496" s="324"/>
      <c r="N1496" s="324"/>
      <c r="O1496" s="324"/>
      <c r="P1496" s="324"/>
      <c r="Q1496" s="324"/>
      <c r="R1496" s="324"/>
      <c r="S1496" s="324"/>
      <c r="T1496" s="324"/>
      <c r="U1496" s="324"/>
      <c r="V1496" s="324"/>
      <c r="W1496" s="324"/>
      <c r="X1496" s="324"/>
      <c r="Y1496" s="325"/>
    </row>
    <row r="1498" spans="1:25" ht="15.75" thickBot="1" x14ac:dyDescent="0.3">
      <c r="A1498" s="326" t="s">
        <v>27</v>
      </c>
      <c r="B1498" s="326"/>
      <c r="C1498" s="326"/>
      <c r="D1498" s="326"/>
      <c r="E1498" s="326"/>
      <c r="F1498" s="326"/>
      <c r="G1498" s="326"/>
      <c r="H1498" s="326"/>
    </row>
    <row r="1499" spans="1:25" ht="15.75" thickBot="1" x14ac:dyDescent="0.3">
      <c r="A1499" s="327" t="s">
        <v>363</v>
      </c>
      <c r="B1499" s="328"/>
      <c r="C1499" s="328"/>
      <c r="D1499" s="328"/>
      <c r="E1499" s="328"/>
      <c r="F1499" s="328"/>
      <c r="G1499" s="328"/>
      <c r="H1499" s="328"/>
      <c r="I1499" s="328"/>
      <c r="J1499" s="328"/>
      <c r="K1499" s="328"/>
      <c r="L1499" s="328"/>
      <c r="M1499" s="328"/>
      <c r="N1499" s="328"/>
      <c r="O1499" s="328"/>
      <c r="P1499" s="328"/>
      <c r="Q1499" s="328"/>
      <c r="R1499" s="328"/>
      <c r="S1499" s="328"/>
      <c r="T1499" s="328"/>
      <c r="U1499" s="328"/>
      <c r="V1499" s="328"/>
      <c r="W1499" s="328"/>
      <c r="X1499" s="328"/>
      <c r="Y1499" s="329"/>
    </row>
    <row r="1501" spans="1:25" ht="15.75" thickBot="1" x14ac:dyDescent="0.3">
      <c r="A1501" s="326" t="s">
        <v>121</v>
      </c>
      <c r="B1501" s="326"/>
      <c r="C1501" s="326"/>
      <c r="E1501" s="326" t="s">
        <v>122</v>
      </c>
      <c r="F1501" s="326"/>
      <c r="G1501" s="326"/>
    </row>
    <row r="1502" spans="1:25" ht="15.75" thickBot="1" x14ac:dyDescent="0.3">
      <c r="A1502" s="330" t="s">
        <v>64</v>
      </c>
      <c r="B1502" s="331"/>
      <c r="E1502" s="330" t="s">
        <v>66</v>
      </c>
      <c r="F1502" s="331"/>
    </row>
    <row r="1504" spans="1:25" ht="19.5" thickBot="1" x14ac:dyDescent="0.35">
      <c r="A1504" s="332" t="s">
        <v>554</v>
      </c>
      <c r="B1504" s="332"/>
      <c r="C1504" s="332"/>
      <c r="D1504" s="332"/>
      <c r="E1504" s="332"/>
      <c r="F1504" s="332"/>
      <c r="H1504" s="332" t="s">
        <v>555</v>
      </c>
      <c r="I1504" s="332"/>
      <c r="J1504" s="332"/>
    </row>
    <row r="1505" spans="1:25" x14ac:dyDescent="0.25">
      <c r="A1505" s="317" t="s">
        <v>556</v>
      </c>
      <c r="B1505" s="318"/>
      <c r="C1505" s="318"/>
      <c r="D1505" s="318"/>
      <c r="E1505" s="318"/>
      <c r="F1505" s="318"/>
      <c r="G1505" s="318"/>
      <c r="H1505" s="318"/>
      <c r="I1505" s="318"/>
      <c r="J1505" s="318"/>
      <c r="K1505" s="318"/>
      <c r="L1505" s="318"/>
      <c r="M1505" s="318"/>
      <c r="N1505" s="318"/>
      <c r="O1505" s="318"/>
      <c r="P1505" s="318"/>
      <c r="Q1505" s="318"/>
      <c r="R1505" s="318"/>
      <c r="S1505" s="318"/>
      <c r="T1505" s="318"/>
      <c r="U1505" s="318"/>
      <c r="V1505" s="318"/>
      <c r="W1505" s="318"/>
      <c r="X1505" s="318"/>
      <c r="Y1505" s="319"/>
    </row>
    <row r="1506" spans="1:25" x14ac:dyDescent="0.25">
      <c r="A1506" s="320"/>
      <c r="B1506" s="321"/>
      <c r="C1506" s="321"/>
      <c r="D1506" s="321"/>
      <c r="E1506" s="321"/>
      <c r="F1506" s="321"/>
      <c r="G1506" s="321"/>
      <c r="H1506" s="321"/>
      <c r="I1506" s="321"/>
      <c r="J1506" s="321"/>
      <c r="K1506" s="321"/>
      <c r="L1506" s="321"/>
      <c r="M1506" s="321"/>
      <c r="N1506" s="321"/>
      <c r="O1506" s="321"/>
      <c r="P1506" s="321"/>
      <c r="Q1506" s="321"/>
      <c r="R1506" s="321"/>
      <c r="S1506" s="321"/>
      <c r="T1506" s="321"/>
      <c r="U1506" s="321"/>
      <c r="V1506" s="321"/>
      <c r="W1506" s="321"/>
      <c r="X1506" s="321"/>
      <c r="Y1506" s="322"/>
    </row>
    <row r="1507" spans="1:25" x14ac:dyDescent="0.25">
      <c r="A1507" s="320"/>
      <c r="B1507" s="321"/>
      <c r="C1507" s="321"/>
      <c r="D1507" s="321"/>
      <c r="E1507" s="321"/>
      <c r="F1507" s="321"/>
      <c r="G1507" s="321"/>
      <c r="H1507" s="321"/>
      <c r="I1507" s="321"/>
      <c r="J1507" s="321"/>
      <c r="K1507" s="321"/>
      <c r="L1507" s="321"/>
      <c r="M1507" s="321"/>
      <c r="N1507" s="321"/>
      <c r="O1507" s="321"/>
      <c r="P1507" s="321"/>
      <c r="Q1507" s="321"/>
      <c r="R1507" s="321"/>
      <c r="S1507" s="321"/>
      <c r="T1507" s="321"/>
      <c r="U1507" s="321"/>
      <c r="V1507" s="321"/>
      <c r="W1507" s="321"/>
      <c r="X1507" s="321"/>
      <c r="Y1507" s="322"/>
    </row>
    <row r="1508" spans="1:25" x14ac:dyDescent="0.25">
      <c r="A1508" s="320"/>
      <c r="B1508" s="321"/>
      <c r="C1508" s="321"/>
      <c r="D1508" s="321"/>
      <c r="E1508" s="321"/>
      <c r="F1508" s="321"/>
      <c r="G1508" s="321"/>
      <c r="H1508" s="321"/>
      <c r="I1508" s="321"/>
      <c r="J1508" s="321"/>
      <c r="K1508" s="321"/>
      <c r="L1508" s="321"/>
      <c r="M1508" s="321"/>
      <c r="N1508" s="321"/>
      <c r="O1508" s="321"/>
      <c r="P1508" s="321"/>
      <c r="Q1508" s="321"/>
      <c r="R1508" s="321"/>
      <c r="S1508" s="321"/>
      <c r="T1508" s="321"/>
      <c r="U1508" s="321"/>
      <c r="V1508" s="321"/>
      <c r="W1508" s="321"/>
      <c r="X1508" s="321"/>
      <c r="Y1508" s="322"/>
    </row>
    <row r="1509" spans="1:25" x14ac:dyDescent="0.25">
      <c r="A1509" s="320"/>
      <c r="B1509" s="321"/>
      <c r="C1509" s="321"/>
      <c r="D1509" s="321"/>
      <c r="E1509" s="321"/>
      <c r="F1509" s="321"/>
      <c r="G1509" s="321"/>
      <c r="H1509" s="321"/>
      <c r="I1509" s="321"/>
      <c r="J1509" s="321"/>
      <c r="K1509" s="321"/>
      <c r="L1509" s="321"/>
      <c r="M1509" s="321"/>
      <c r="N1509" s="321"/>
      <c r="O1509" s="321"/>
      <c r="P1509" s="321"/>
      <c r="Q1509" s="321"/>
      <c r="R1509" s="321"/>
      <c r="S1509" s="321"/>
      <c r="T1509" s="321"/>
      <c r="U1509" s="321"/>
      <c r="V1509" s="321"/>
      <c r="W1509" s="321"/>
      <c r="X1509" s="321"/>
      <c r="Y1509" s="322"/>
    </row>
    <row r="1510" spans="1:25" x14ac:dyDescent="0.25">
      <c r="A1510" s="320"/>
      <c r="B1510" s="321"/>
      <c r="C1510" s="321"/>
      <c r="D1510" s="321"/>
      <c r="E1510" s="321"/>
      <c r="F1510" s="321"/>
      <c r="G1510" s="321"/>
      <c r="H1510" s="321"/>
      <c r="I1510" s="321"/>
      <c r="J1510" s="321"/>
      <c r="K1510" s="321"/>
      <c r="L1510" s="321"/>
      <c r="M1510" s="321"/>
      <c r="N1510" s="321"/>
      <c r="O1510" s="321"/>
      <c r="P1510" s="321"/>
      <c r="Q1510" s="321"/>
      <c r="R1510" s="321"/>
      <c r="S1510" s="321"/>
      <c r="T1510" s="321"/>
      <c r="U1510" s="321"/>
      <c r="V1510" s="321"/>
      <c r="W1510" s="321"/>
      <c r="X1510" s="321"/>
      <c r="Y1510" s="322"/>
    </row>
    <row r="1511" spans="1:25" x14ac:dyDescent="0.25">
      <c r="A1511" s="320"/>
      <c r="B1511" s="321"/>
      <c r="C1511" s="321"/>
      <c r="D1511" s="321"/>
      <c r="E1511" s="321"/>
      <c r="F1511" s="321"/>
      <c r="G1511" s="321"/>
      <c r="H1511" s="321"/>
      <c r="I1511" s="321"/>
      <c r="J1511" s="321"/>
      <c r="K1511" s="321"/>
      <c r="L1511" s="321"/>
      <c r="M1511" s="321"/>
      <c r="N1511" s="321"/>
      <c r="O1511" s="321"/>
      <c r="P1511" s="321"/>
      <c r="Q1511" s="321"/>
      <c r="R1511" s="321"/>
      <c r="S1511" s="321"/>
      <c r="T1511" s="321"/>
      <c r="U1511" s="321"/>
      <c r="V1511" s="321"/>
      <c r="W1511" s="321"/>
      <c r="X1511" s="321"/>
      <c r="Y1511" s="322"/>
    </row>
    <row r="1512" spans="1:25" x14ac:dyDescent="0.25">
      <c r="A1512" s="320"/>
      <c r="B1512" s="321"/>
      <c r="C1512" s="321"/>
      <c r="D1512" s="321"/>
      <c r="E1512" s="321"/>
      <c r="F1512" s="321"/>
      <c r="G1512" s="321"/>
      <c r="H1512" s="321"/>
      <c r="I1512" s="321"/>
      <c r="J1512" s="321"/>
      <c r="K1512" s="321"/>
      <c r="L1512" s="321"/>
      <c r="M1512" s="321"/>
      <c r="N1512" s="321"/>
      <c r="O1512" s="321"/>
      <c r="P1512" s="321"/>
      <c r="Q1512" s="321"/>
      <c r="R1512" s="321"/>
      <c r="S1512" s="321"/>
      <c r="T1512" s="321"/>
      <c r="U1512" s="321"/>
      <c r="V1512" s="321"/>
      <c r="W1512" s="321"/>
      <c r="X1512" s="321"/>
      <c r="Y1512" s="322"/>
    </row>
    <row r="1513" spans="1:25" x14ac:dyDescent="0.25">
      <c r="A1513" s="320"/>
      <c r="B1513" s="321"/>
      <c r="C1513" s="321"/>
      <c r="D1513" s="321"/>
      <c r="E1513" s="321"/>
      <c r="F1513" s="321"/>
      <c r="G1513" s="321"/>
      <c r="H1513" s="321"/>
      <c r="I1513" s="321"/>
      <c r="J1513" s="321"/>
      <c r="K1513" s="321"/>
      <c r="L1513" s="321"/>
      <c r="M1513" s="321"/>
      <c r="N1513" s="321"/>
      <c r="O1513" s="321"/>
      <c r="P1513" s="321"/>
      <c r="Q1513" s="321"/>
      <c r="R1513" s="321"/>
      <c r="S1513" s="321"/>
      <c r="T1513" s="321"/>
      <c r="U1513" s="321"/>
      <c r="V1513" s="321"/>
      <c r="W1513" s="321"/>
      <c r="X1513" s="321"/>
      <c r="Y1513" s="322"/>
    </row>
    <row r="1514" spans="1:25" x14ac:dyDescent="0.25">
      <c r="A1514" s="320"/>
      <c r="B1514" s="321"/>
      <c r="C1514" s="321"/>
      <c r="D1514" s="321"/>
      <c r="E1514" s="321"/>
      <c r="F1514" s="321"/>
      <c r="G1514" s="321"/>
      <c r="H1514" s="321"/>
      <c r="I1514" s="321"/>
      <c r="J1514" s="321"/>
      <c r="K1514" s="321"/>
      <c r="L1514" s="321"/>
      <c r="M1514" s="321"/>
      <c r="N1514" s="321"/>
      <c r="O1514" s="321"/>
      <c r="P1514" s="321"/>
      <c r="Q1514" s="321"/>
      <c r="R1514" s="321"/>
      <c r="S1514" s="321"/>
      <c r="T1514" s="321"/>
      <c r="U1514" s="321"/>
      <c r="V1514" s="321"/>
      <c r="W1514" s="321"/>
      <c r="X1514" s="321"/>
      <c r="Y1514" s="322"/>
    </row>
    <row r="1515" spans="1:25" x14ac:dyDescent="0.25">
      <c r="A1515" s="320"/>
      <c r="B1515" s="321"/>
      <c r="C1515" s="321"/>
      <c r="D1515" s="321"/>
      <c r="E1515" s="321"/>
      <c r="F1515" s="321"/>
      <c r="G1515" s="321"/>
      <c r="H1515" s="321"/>
      <c r="I1515" s="321"/>
      <c r="J1515" s="321"/>
      <c r="K1515" s="321"/>
      <c r="L1515" s="321"/>
      <c r="M1515" s="321"/>
      <c r="N1515" s="321"/>
      <c r="O1515" s="321"/>
      <c r="P1515" s="321"/>
      <c r="Q1515" s="321"/>
      <c r="R1515" s="321"/>
      <c r="S1515" s="321"/>
      <c r="T1515" s="321"/>
      <c r="U1515" s="321"/>
      <c r="V1515" s="321"/>
      <c r="W1515" s="321"/>
      <c r="X1515" s="321"/>
      <c r="Y1515" s="322"/>
    </row>
    <row r="1516" spans="1:25" x14ac:dyDescent="0.25">
      <c r="A1516" s="320"/>
      <c r="B1516" s="321"/>
      <c r="C1516" s="321"/>
      <c r="D1516" s="321"/>
      <c r="E1516" s="321"/>
      <c r="F1516" s="321"/>
      <c r="G1516" s="321"/>
      <c r="H1516" s="321"/>
      <c r="I1516" s="321"/>
      <c r="J1516" s="321"/>
      <c r="K1516" s="321"/>
      <c r="L1516" s="321"/>
      <c r="M1516" s="321"/>
      <c r="N1516" s="321"/>
      <c r="O1516" s="321"/>
      <c r="P1516" s="321"/>
      <c r="Q1516" s="321"/>
      <c r="R1516" s="321"/>
      <c r="S1516" s="321"/>
      <c r="T1516" s="321"/>
      <c r="U1516" s="321"/>
      <c r="V1516" s="321"/>
      <c r="W1516" s="321"/>
      <c r="X1516" s="321"/>
      <c r="Y1516" s="322"/>
    </row>
    <row r="1517" spans="1:25" x14ac:dyDescent="0.25">
      <c r="A1517" s="320"/>
      <c r="B1517" s="321"/>
      <c r="C1517" s="321"/>
      <c r="D1517" s="321"/>
      <c r="E1517" s="321"/>
      <c r="F1517" s="321"/>
      <c r="G1517" s="321"/>
      <c r="H1517" s="321"/>
      <c r="I1517" s="321"/>
      <c r="J1517" s="321"/>
      <c r="K1517" s="321"/>
      <c r="L1517" s="321"/>
      <c r="M1517" s="321"/>
      <c r="N1517" s="321"/>
      <c r="O1517" s="321"/>
      <c r="P1517" s="321"/>
      <c r="Q1517" s="321"/>
      <c r="R1517" s="321"/>
      <c r="S1517" s="321"/>
      <c r="T1517" s="321"/>
      <c r="U1517" s="321"/>
      <c r="V1517" s="321"/>
      <c r="W1517" s="321"/>
      <c r="X1517" s="321"/>
      <c r="Y1517" s="322"/>
    </row>
    <row r="1518" spans="1:25" ht="15.75" thickBot="1" x14ac:dyDescent="0.3">
      <c r="A1518" s="323"/>
      <c r="B1518" s="324"/>
      <c r="C1518" s="324"/>
      <c r="D1518" s="324"/>
      <c r="E1518" s="324"/>
      <c r="F1518" s="324"/>
      <c r="G1518" s="324"/>
      <c r="H1518" s="324"/>
      <c r="I1518" s="324"/>
      <c r="J1518" s="324"/>
      <c r="K1518" s="324"/>
      <c r="L1518" s="324"/>
      <c r="M1518" s="324"/>
      <c r="N1518" s="324"/>
      <c r="O1518" s="324"/>
      <c r="P1518" s="324"/>
      <c r="Q1518" s="324"/>
      <c r="R1518" s="324"/>
      <c r="S1518" s="324"/>
      <c r="T1518" s="324"/>
      <c r="U1518" s="324"/>
      <c r="V1518" s="324"/>
      <c r="W1518" s="324"/>
      <c r="X1518" s="324"/>
      <c r="Y1518" s="325"/>
    </row>
    <row r="1520" spans="1:25" ht="15.75" thickBot="1" x14ac:dyDescent="0.3">
      <c r="A1520" s="326" t="s">
        <v>29</v>
      </c>
      <c r="B1520" s="326"/>
      <c r="C1520" s="326"/>
      <c r="D1520" s="326"/>
    </row>
    <row r="1521" spans="1:25" x14ac:dyDescent="0.25">
      <c r="A1521" s="317" t="s">
        <v>557</v>
      </c>
      <c r="B1521" s="318"/>
      <c r="C1521" s="318"/>
      <c r="D1521" s="318"/>
      <c r="E1521" s="318"/>
      <c r="F1521" s="318"/>
      <c r="G1521" s="318"/>
      <c r="H1521" s="318"/>
      <c r="I1521" s="318"/>
      <c r="J1521" s="318"/>
      <c r="K1521" s="318"/>
      <c r="L1521" s="318"/>
      <c r="M1521" s="318"/>
      <c r="N1521" s="318"/>
      <c r="O1521" s="318"/>
      <c r="P1521" s="318"/>
      <c r="Q1521" s="318"/>
      <c r="R1521" s="318"/>
      <c r="S1521" s="318"/>
      <c r="T1521" s="318"/>
      <c r="U1521" s="318"/>
      <c r="V1521" s="318"/>
      <c r="W1521" s="318"/>
      <c r="X1521" s="318"/>
      <c r="Y1521" s="319"/>
    </row>
    <row r="1522" spans="1:25" x14ac:dyDescent="0.25">
      <c r="A1522" s="320"/>
      <c r="B1522" s="321"/>
      <c r="C1522" s="321"/>
      <c r="D1522" s="321"/>
      <c r="E1522" s="321"/>
      <c r="F1522" s="321"/>
      <c r="G1522" s="321"/>
      <c r="H1522" s="321"/>
      <c r="I1522" s="321"/>
      <c r="J1522" s="321"/>
      <c r="K1522" s="321"/>
      <c r="L1522" s="321"/>
      <c r="M1522" s="321"/>
      <c r="N1522" s="321"/>
      <c r="O1522" s="321"/>
      <c r="P1522" s="321"/>
      <c r="Q1522" s="321"/>
      <c r="R1522" s="321"/>
      <c r="S1522" s="321"/>
      <c r="T1522" s="321"/>
      <c r="U1522" s="321"/>
      <c r="V1522" s="321"/>
      <c r="W1522" s="321"/>
      <c r="X1522" s="321"/>
      <c r="Y1522" s="322"/>
    </row>
    <row r="1523" spans="1:25" x14ac:dyDescent="0.25">
      <c r="A1523" s="320"/>
      <c r="B1523" s="321"/>
      <c r="C1523" s="321"/>
      <c r="D1523" s="321"/>
      <c r="E1523" s="321"/>
      <c r="F1523" s="321"/>
      <c r="G1523" s="321"/>
      <c r="H1523" s="321"/>
      <c r="I1523" s="321"/>
      <c r="J1523" s="321"/>
      <c r="K1523" s="321"/>
      <c r="L1523" s="321"/>
      <c r="M1523" s="321"/>
      <c r="N1523" s="321"/>
      <c r="O1523" s="321"/>
      <c r="P1523" s="321"/>
      <c r="Q1523" s="321"/>
      <c r="R1523" s="321"/>
      <c r="S1523" s="321"/>
      <c r="T1523" s="321"/>
      <c r="U1523" s="321"/>
      <c r="V1523" s="321"/>
      <c r="W1523" s="321"/>
      <c r="X1523" s="321"/>
      <c r="Y1523" s="322"/>
    </row>
    <row r="1524" spans="1:25" x14ac:dyDescent="0.25">
      <c r="A1524" s="320"/>
      <c r="B1524" s="321"/>
      <c r="C1524" s="321"/>
      <c r="D1524" s="321"/>
      <c r="E1524" s="321"/>
      <c r="F1524" s="321"/>
      <c r="G1524" s="321"/>
      <c r="H1524" s="321"/>
      <c r="I1524" s="321"/>
      <c r="J1524" s="321"/>
      <c r="K1524" s="321"/>
      <c r="L1524" s="321"/>
      <c r="M1524" s="321"/>
      <c r="N1524" s="321"/>
      <c r="O1524" s="321"/>
      <c r="P1524" s="321"/>
      <c r="Q1524" s="321"/>
      <c r="R1524" s="321"/>
      <c r="S1524" s="321"/>
      <c r="T1524" s="321"/>
      <c r="U1524" s="321"/>
      <c r="V1524" s="321"/>
      <c r="W1524" s="321"/>
      <c r="X1524" s="321"/>
      <c r="Y1524" s="322"/>
    </row>
    <row r="1525" spans="1:25" x14ac:dyDescent="0.25">
      <c r="A1525" s="320"/>
      <c r="B1525" s="321"/>
      <c r="C1525" s="321"/>
      <c r="D1525" s="321"/>
      <c r="E1525" s="321"/>
      <c r="F1525" s="321"/>
      <c r="G1525" s="321"/>
      <c r="H1525" s="321"/>
      <c r="I1525" s="321"/>
      <c r="J1525" s="321"/>
      <c r="K1525" s="321"/>
      <c r="L1525" s="321"/>
      <c r="M1525" s="321"/>
      <c r="N1525" s="321"/>
      <c r="O1525" s="321"/>
      <c r="P1525" s="321"/>
      <c r="Q1525" s="321"/>
      <c r="R1525" s="321"/>
      <c r="S1525" s="321"/>
      <c r="T1525" s="321"/>
      <c r="U1525" s="321"/>
      <c r="V1525" s="321"/>
      <c r="W1525" s="321"/>
      <c r="X1525" s="321"/>
      <c r="Y1525" s="322"/>
    </row>
    <row r="1526" spans="1:25" x14ac:dyDescent="0.25">
      <c r="A1526" s="320"/>
      <c r="B1526" s="321"/>
      <c r="C1526" s="321"/>
      <c r="D1526" s="321"/>
      <c r="E1526" s="321"/>
      <c r="F1526" s="321"/>
      <c r="G1526" s="321"/>
      <c r="H1526" s="321"/>
      <c r="I1526" s="321"/>
      <c r="J1526" s="321"/>
      <c r="K1526" s="321"/>
      <c r="L1526" s="321"/>
      <c r="M1526" s="321"/>
      <c r="N1526" s="321"/>
      <c r="O1526" s="321"/>
      <c r="P1526" s="321"/>
      <c r="Q1526" s="321"/>
      <c r="R1526" s="321"/>
      <c r="S1526" s="321"/>
      <c r="T1526" s="321"/>
      <c r="U1526" s="321"/>
      <c r="V1526" s="321"/>
      <c r="W1526" s="321"/>
      <c r="X1526" s="321"/>
      <c r="Y1526" s="322"/>
    </row>
    <row r="1527" spans="1:25" ht="15.75" thickBot="1" x14ac:dyDescent="0.3">
      <c r="A1527" s="323"/>
      <c r="B1527" s="324"/>
      <c r="C1527" s="324"/>
      <c r="D1527" s="324"/>
      <c r="E1527" s="324"/>
      <c r="F1527" s="324"/>
      <c r="G1527" s="324"/>
      <c r="H1527" s="324"/>
      <c r="I1527" s="324"/>
      <c r="J1527" s="324"/>
      <c r="K1527" s="324"/>
      <c r="L1527" s="324"/>
      <c r="M1527" s="324"/>
      <c r="N1527" s="324"/>
      <c r="O1527" s="324"/>
      <c r="P1527" s="324"/>
      <c r="Q1527" s="324"/>
      <c r="R1527" s="324"/>
      <c r="S1527" s="324"/>
      <c r="T1527" s="324"/>
      <c r="U1527" s="324"/>
      <c r="V1527" s="324"/>
      <c r="W1527" s="324"/>
      <c r="X1527" s="324"/>
      <c r="Y1527" s="325"/>
    </row>
    <row r="1529" spans="1:25" ht="15.75" thickBot="1" x14ac:dyDescent="0.3">
      <c r="A1529" s="326" t="s">
        <v>27</v>
      </c>
      <c r="B1529" s="326"/>
      <c r="C1529" s="326"/>
      <c r="D1529" s="326"/>
      <c r="E1529" s="326"/>
      <c r="F1529" s="326"/>
      <c r="G1529" s="326"/>
      <c r="H1529" s="326"/>
    </row>
    <row r="1530" spans="1:25" ht="15.75" thickBot="1" x14ac:dyDescent="0.3">
      <c r="A1530" s="327" t="s">
        <v>363</v>
      </c>
      <c r="B1530" s="328"/>
      <c r="C1530" s="328"/>
      <c r="D1530" s="328"/>
      <c r="E1530" s="328"/>
      <c r="F1530" s="328"/>
      <c r="G1530" s="328"/>
      <c r="H1530" s="328"/>
      <c r="I1530" s="328"/>
      <c r="J1530" s="328"/>
      <c r="K1530" s="328"/>
      <c r="L1530" s="328"/>
      <c r="M1530" s="328"/>
      <c r="N1530" s="328"/>
      <c r="O1530" s="328"/>
      <c r="P1530" s="328"/>
      <c r="Q1530" s="328"/>
      <c r="R1530" s="328"/>
      <c r="S1530" s="328"/>
      <c r="T1530" s="328"/>
      <c r="U1530" s="328"/>
      <c r="V1530" s="328"/>
      <c r="W1530" s="328"/>
      <c r="X1530" s="328"/>
      <c r="Y1530" s="329"/>
    </row>
    <row r="1532" spans="1:25" ht="15.75" thickBot="1" x14ac:dyDescent="0.3">
      <c r="A1532" s="326" t="s">
        <v>121</v>
      </c>
      <c r="B1532" s="326"/>
      <c r="C1532" s="326"/>
      <c r="E1532" s="326" t="s">
        <v>122</v>
      </c>
      <c r="F1532" s="326"/>
      <c r="G1532" s="326"/>
    </row>
    <row r="1533" spans="1:25" ht="15.75" thickBot="1" x14ac:dyDescent="0.3">
      <c r="A1533" s="330" t="s">
        <v>64</v>
      </c>
      <c r="B1533" s="331"/>
      <c r="E1533" s="330" t="s">
        <v>66</v>
      </c>
      <c r="F1533" s="331"/>
    </row>
    <row r="1535" spans="1:25" ht="19.5" thickBot="1" x14ac:dyDescent="0.35">
      <c r="A1535" s="332" t="s">
        <v>560</v>
      </c>
      <c r="B1535" s="332"/>
      <c r="C1535" s="332"/>
      <c r="D1535" s="332"/>
      <c r="E1535" s="332"/>
      <c r="F1535" s="332"/>
      <c r="H1535" s="332" t="s">
        <v>567</v>
      </c>
      <c r="I1535" s="332"/>
      <c r="J1535" s="332"/>
    </row>
    <row r="1536" spans="1:25" x14ac:dyDescent="0.25">
      <c r="A1536" s="317" t="s">
        <v>561</v>
      </c>
      <c r="B1536" s="318"/>
      <c r="C1536" s="318"/>
      <c r="D1536" s="318"/>
      <c r="E1536" s="318"/>
      <c r="F1536" s="318"/>
      <c r="G1536" s="318"/>
      <c r="H1536" s="318"/>
      <c r="I1536" s="318"/>
      <c r="J1536" s="318"/>
      <c r="K1536" s="318"/>
      <c r="L1536" s="318"/>
      <c r="M1536" s="318"/>
      <c r="N1536" s="318"/>
      <c r="O1536" s="318"/>
      <c r="P1536" s="318"/>
      <c r="Q1536" s="318"/>
      <c r="R1536" s="318"/>
      <c r="S1536" s="318"/>
      <c r="T1536" s="318"/>
      <c r="U1536" s="318"/>
      <c r="V1536" s="318"/>
      <c r="W1536" s="318"/>
      <c r="X1536" s="318"/>
      <c r="Y1536" s="319"/>
    </row>
    <row r="1537" spans="1:25" x14ac:dyDescent="0.25">
      <c r="A1537" s="320"/>
      <c r="B1537" s="321"/>
      <c r="C1537" s="321"/>
      <c r="D1537" s="321"/>
      <c r="E1537" s="321"/>
      <c r="F1537" s="321"/>
      <c r="G1537" s="321"/>
      <c r="H1537" s="321"/>
      <c r="I1537" s="321"/>
      <c r="J1537" s="321"/>
      <c r="K1537" s="321"/>
      <c r="L1537" s="321"/>
      <c r="M1537" s="321"/>
      <c r="N1537" s="321"/>
      <c r="O1537" s="321"/>
      <c r="P1537" s="321"/>
      <c r="Q1537" s="321"/>
      <c r="R1537" s="321"/>
      <c r="S1537" s="321"/>
      <c r="T1537" s="321"/>
      <c r="U1537" s="321"/>
      <c r="V1537" s="321"/>
      <c r="W1537" s="321"/>
      <c r="X1537" s="321"/>
      <c r="Y1537" s="322"/>
    </row>
    <row r="1538" spans="1:25" x14ac:dyDescent="0.25">
      <c r="A1538" s="320"/>
      <c r="B1538" s="321"/>
      <c r="C1538" s="321"/>
      <c r="D1538" s="321"/>
      <c r="E1538" s="321"/>
      <c r="F1538" s="321"/>
      <c r="G1538" s="321"/>
      <c r="H1538" s="321"/>
      <c r="I1538" s="321"/>
      <c r="J1538" s="321"/>
      <c r="K1538" s="321"/>
      <c r="L1538" s="321"/>
      <c r="M1538" s="321"/>
      <c r="N1538" s="321"/>
      <c r="O1538" s="321"/>
      <c r="P1538" s="321"/>
      <c r="Q1538" s="321"/>
      <c r="R1538" s="321"/>
      <c r="S1538" s="321"/>
      <c r="T1538" s="321"/>
      <c r="U1538" s="321"/>
      <c r="V1538" s="321"/>
      <c r="W1538" s="321"/>
      <c r="X1538" s="321"/>
      <c r="Y1538" s="322"/>
    </row>
    <row r="1539" spans="1:25" x14ac:dyDescent="0.25">
      <c r="A1539" s="320"/>
      <c r="B1539" s="321"/>
      <c r="C1539" s="321"/>
      <c r="D1539" s="321"/>
      <c r="E1539" s="321"/>
      <c r="F1539" s="321"/>
      <c r="G1539" s="321"/>
      <c r="H1539" s="321"/>
      <c r="I1539" s="321"/>
      <c r="J1539" s="321"/>
      <c r="K1539" s="321"/>
      <c r="L1539" s="321"/>
      <c r="M1539" s="321"/>
      <c r="N1539" s="321"/>
      <c r="O1539" s="321"/>
      <c r="P1539" s="321"/>
      <c r="Q1539" s="321"/>
      <c r="R1539" s="321"/>
      <c r="S1539" s="321"/>
      <c r="T1539" s="321"/>
      <c r="U1539" s="321"/>
      <c r="V1539" s="321"/>
      <c r="W1539" s="321"/>
      <c r="X1539" s="321"/>
      <c r="Y1539" s="322"/>
    </row>
    <row r="1540" spans="1:25" x14ac:dyDescent="0.25">
      <c r="A1540" s="320"/>
      <c r="B1540" s="321"/>
      <c r="C1540" s="321"/>
      <c r="D1540" s="321"/>
      <c r="E1540" s="321"/>
      <c r="F1540" s="321"/>
      <c r="G1540" s="321"/>
      <c r="H1540" s="321"/>
      <c r="I1540" s="321"/>
      <c r="J1540" s="321"/>
      <c r="K1540" s="321"/>
      <c r="L1540" s="321"/>
      <c r="M1540" s="321"/>
      <c r="N1540" s="321"/>
      <c r="O1540" s="321"/>
      <c r="P1540" s="321"/>
      <c r="Q1540" s="321"/>
      <c r="R1540" s="321"/>
      <c r="S1540" s="321"/>
      <c r="T1540" s="321"/>
      <c r="U1540" s="321"/>
      <c r="V1540" s="321"/>
      <c r="W1540" s="321"/>
      <c r="X1540" s="321"/>
      <c r="Y1540" s="322"/>
    </row>
    <row r="1541" spans="1:25" x14ac:dyDescent="0.25">
      <c r="A1541" s="320"/>
      <c r="B1541" s="321"/>
      <c r="C1541" s="321"/>
      <c r="D1541" s="321"/>
      <c r="E1541" s="321"/>
      <c r="F1541" s="321"/>
      <c r="G1541" s="321"/>
      <c r="H1541" s="321"/>
      <c r="I1541" s="321"/>
      <c r="J1541" s="321"/>
      <c r="K1541" s="321"/>
      <c r="L1541" s="321"/>
      <c r="M1541" s="321"/>
      <c r="N1541" s="321"/>
      <c r="O1541" s="321"/>
      <c r="P1541" s="321"/>
      <c r="Q1541" s="321"/>
      <c r="R1541" s="321"/>
      <c r="S1541" s="321"/>
      <c r="T1541" s="321"/>
      <c r="U1541" s="321"/>
      <c r="V1541" s="321"/>
      <c r="W1541" s="321"/>
      <c r="X1541" s="321"/>
      <c r="Y1541" s="322"/>
    </row>
    <row r="1542" spans="1:25" x14ac:dyDescent="0.25">
      <c r="A1542" s="320"/>
      <c r="B1542" s="321"/>
      <c r="C1542" s="321"/>
      <c r="D1542" s="321"/>
      <c r="E1542" s="321"/>
      <c r="F1542" s="321"/>
      <c r="G1542" s="321"/>
      <c r="H1542" s="321"/>
      <c r="I1542" s="321"/>
      <c r="J1542" s="321"/>
      <c r="K1542" s="321"/>
      <c r="L1542" s="321"/>
      <c r="M1542" s="321"/>
      <c r="N1542" s="321"/>
      <c r="O1542" s="321"/>
      <c r="P1542" s="321"/>
      <c r="Q1542" s="321"/>
      <c r="R1542" s="321"/>
      <c r="S1542" s="321"/>
      <c r="T1542" s="321"/>
      <c r="U1542" s="321"/>
      <c r="V1542" s="321"/>
      <c r="W1542" s="321"/>
      <c r="X1542" s="321"/>
      <c r="Y1542" s="322"/>
    </row>
    <row r="1543" spans="1:25" x14ac:dyDescent="0.25">
      <c r="A1543" s="320"/>
      <c r="B1543" s="321"/>
      <c r="C1543" s="321"/>
      <c r="D1543" s="321"/>
      <c r="E1543" s="321"/>
      <c r="F1543" s="321"/>
      <c r="G1543" s="321"/>
      <c r="H1543" s="321"/>
      <c r="I1543" s="321"/>
      <c r="J1543" s="321"/>
      <c r="K1543" s="321"/>
      <c r="L1543" s="321"/>
      <c r="M1543" s="321"/>
      <c r="N1543" s="321"/>
      <c r="O1543" s="321"/>
      <c r="P1543" s="321"/>
      <c r="Q1543" s="321"/>
      <c r="R1543" s="321"/>
      <c r="S1543" s="321"/>
      <c r="T1543" s="321"/>
      <c r="U1543" s="321"/>
      <c r="V1543" s="321"/>
      <c r="W1543" s="321"/>
      <c r="X1543" s="321"/>
      <c r="Y1543" s="322"/>
    </row>
    <row r="1544" spans="1:25" x14ac:dyDescent="0.25">
      <c r="A1544" s="320"/>
      <c r="B1544" s="321"/>
      <c r="C1544" s="321"/>
      <c r="D1544" s="321"/>
      <c r="E1544" s="321"/>
      <c r="F1544" s="321"/>
      <c r="G1544" s="321"/>
      <c r="H1544" s="321"/>
      <c r="I1544" s="321"/>
      <c r="J1544" s="321"/>
      <c r="K1544" s="321"/>
      <c r="L1544" s="321"/>
      <c r="M1544" s="321"/>
      <c r="N1544" s="321"/>
      <c r="O1544" s="321"/>
      <c r="P1544" s="321"/>
      <c r="Q1544" s="321"/>
      <c r="R1544" s="321"/>
      <c r="S1544" s="321"/>
      <c r="T1544" s="321"/>
      <c r="U1544" s="321"/>
      <c r="V1544" s="321"/>
      <c r="W1544" s="321"/>
      <c r="X1544" s="321"/>
      <c r="Y1544" s="322"/>
    </row>
    <row r="1545" spans="1:25" x14ac:dyDescent="0.25">
      <c r="A1545" s="320"/>
      <c r="B1545" s="321"/>
      <c r="C1545" s="321"/>
      <c r="D1545" s="321"/>
      <c r="E1545" s="321"/>
      <c r="F1545" s="321"/>
      <c r="G1545" s="321"/>
      <c r="H1545" s="321"/>
      <c r="I1545" s="321"/>
      <c r="J1545" s="321"/>
      <c r="K1545" s="321"/>
      <c r="L1545" s="321"/>
      <c r="M1545" s="321"/>
      <c r="N1545" s="321"/>
      <c r="O1545" s="321"/>
      <c r="P1545" s="321"/>
      <c r="Q1545" s="321"/>
      <c r="R1545" s="321"/>
      <c r="S1545" s="321"/>
      <c r="T1545" s="321"/>
      <c r="U1545" s="321"/>
      <c r="V1545" s="321"/>
      <c r="W1545" s="321"/>
      <c r="X1545" s="321"/>
      <c r="Y1545" s="322"/>
    </row>
    <row r="1546" spans="1:25" x14ac:dyDescent="0.25">
      <c r="A1546" s="320"/>
      <c r="B1546" s="321"/>
      <c r="C1546" s="321"/>
      <c r="D1546" s="321"/>
      <c r="E1546" s="321"/>
      <c r="F1546" s="321"/>
      <c r="G1546" s="321"/>
      <c r="H1546" s="321"/>
      <c r="I1546" s="321"/>
      <c r="J1546" s="321"/>
      <c r="K1546" s="321"/>
      <c r="L1546" s="321"/>
      <c r="M1546" s="321"/>
      <c r="N1546" s="321"/>
      <c r="O1546" s="321"/>
      <c r="P1546" s="321"/>
      <c r="Q1546" s="321"/>
      <c r="R1546" s="321"/>
      <c r="S1546" s="321"/>
      <c r="T1546" s="321"/>
      <c r="U1546" s="321"/>
      <c r="V1546" s="321"/>
      <c r="W1546" s="321"/>
      <c r="X1546" s="321"/>
      <c r="Y1546" s="322"/>
    </row>
    <row r="1547" spans="1:25" x14ac:dyDescent="0.25">
      <c r="A1547" s="320"/>
      <c r="B1547" s="321"/>
      <c r="C1547" s="321"/>
      <c r="D1547" s="321"/>
      <c r="E1547" s="321"/>
      <c r="F1547" s="321"/>
      <c r="G1547" s="321"/>
      <c r="H1547" s="321"/>
      <c r="I1547" s="321"/>
      <c r="J1547" s="321"/>
      <c r="K1547" s="321"/>
      <c r="L1547" s="321"/>
      <c r="M1547" s="321"/>
      <c r="N1547" s="321"/>
      <c r="O1547" s="321"/>
      <c r="P1547" s="321"/>
      <c r="Q1547" s="321"/>
      <c r="R1547" s="321"/>
      <c r="S1547" s="321"/>
      <c r="T1547" s="321"/>
      <c r="U1547" s="321"/>
      <c r="V1547" s="321"/>
      <c r="W1547" s="321"/>
      <c r="X1547" s="321"/>
      <c r="Y1547" s="322"/>
    </row>
    <row r="1548" spans="1:25" x14ac:dyDescent="0.25">
      <c r="A1548" s="320"/>
      <c r="B1548" s="321"/>
      <c r="C1548" s="321"/>
      <c r="D1548" s="321"/>
      <c r="E1548" s="321"/>
      <c r="F1548" s="321"/>
      <c r="G1548" s="321"/>
      <c r="H1548" s="321"/>
      <c r="I1548" s="321"/>
      <c r="J1548" s="321"/>
      <c r="K1548" s="321"/>
      <c r="L1548" s="321"/>
      <c r="M1548" s="321"/>
      <c r="N1548" s="321"/>
      <c r="O1548" s="321"/>
      <c r="P1548" s="321"/>
      <c r="Q1548" s="321"/>
      <c r="R1548" s="321"/>
      <c r="S1548" s="321"/>
      <c r="T1548" s="321"/>
      <c r="U1548" s="321"/>
      <c r="V1548" s="321"/>
      <c r="W1548" s="321"/>
      <c r="X1548" s="321"/>
      <c r="Y1548" s="322"/>
    </row>
    <row r="1549" spans="1:25" ht="15.75" thickBot="1" x14ac:dyDescent="0.3">
      <c r="A1549" s="323"/>
      <c r="B1549" s="324"/>
      <c r="C1549" s="324"/>
      <c r="D1549" s="324"/>
      <c r="E1549" s="324"/>
      <c r="F1549" s="324"/>
      <c r="G1549" s="324"/>
      <c r="H1549" s="324"/>
      <c r="I1549" s="324"/>
      <c r="J1549" s="324"/>
      <c r="K1549" s="324"/>
      <c r="L1549" s="324"/>
      <c r="M1549" s="324"/>
      <c r="N1549" s="324"/>
      <c r="O1549" s="324"/>
      <c r="P1549" s="324"/>
      <c r="Q1549" s="324"/>
      <c r="R1549" s="324"/>
      <c r="S1549" s="324"/>
      <c r="T1549" s="324"/>
      <c r="U1549" s="324"/>
      <c r="V1549" s="324"/>
      <c r="W1549" s="324"/>
      <c r="X1549" s="324"/>
      <c r="Y1549" s="325"/>
    </row>
    <row r="1551" spans="1:25" ht="15.75" thickBot="1" x14ac:dyDescent="0.3">
      <c r="A1551" s="326" t="s">
        <v>29</v>
      </c>
      <c r="B1551" s="326"/>
      <c r="C1551" s="326"/>
      <c r="D1551" s="326"/>
    </row>
    <row r="1552" spans="1:25" x14ac:dyDescent="0.25">
      <c r="A1552" s="317" t="s">
        <v>562</v>
      </c>
      <c r="B1552" s="318"/>
      <c r="C1552" s="318"/>
      <c r="D1552" s="318"/>
      <c r="E1552" s="318"/>
      <c r="F1552" s="318"/>
      <c r="G1552" s="318"/>
      <c r="H1552" s="318"/>
      <c r="I1552" s="318"/>
      <c r="J1552" s="318"/>
      <c r="K1552" s="318"/>
      <c r="L1552" s="318"/>
      <c r="M1552" s="318"/>
      <c r="N1552" s="318"/>
      <c r="O1552" s="318"/>
      <c r="P1552" s="318"/>
      <c r="Q1552" s="318"/>
      <c r="R1552" s="318"/>
      <c r="S1552" s="318"/>
      <c r="T1552" s="318"/>
      <c r="U1552" s="318"/>
      <c r="V1552" s="318"/>
      <c r="W1552" s="318"/>
      <c r="X1552" s="318"/>
      <c r="Y1552" s="319"/>
    </row>
    <row r="1553" spans="1:25" x14ac:dyDescent="0.25">
      <c r="A1553" s="320"/>
      <c r="B1553" s="321"/>
      <c r="C1553" s="321"/>
      <c r="D1553" s="321"/>
      <c r="E1553" s="321"/>
      <c r="F1553" s="321"/>
      <c r="G1553" s="321"/>
      <c r="H1553" s="321"/>
      <c r="I1553" s="321"/>
      <c r="J1553" s="321"/>
      <c r="K1553" s="321"/>
      <c r="L1553" s="321"/>
      <c r="M1553" s="321"/>
      <c r="N1553" s="321"/>
      <c r="O1553" s="321"/>
      <c r="P1553" s="321"/>
      <c r="Q1553" s="321"/>
      <c r="R1553" s="321"/>
      <c r="S1553" s="321"/>
      <c r="T1553" s="321"/>
      <c r="U1553" s="321"/>
      <c r="V1553" s="321"/>
      <c r="W1553" s="321"/>
      <c r="X1553" s="321"/>
      <c r="Y1553" s="322"/>
    </row>
    <row r="1554" spans="1:25" x14ac:dyDescent="0.25">
      <c r="A1554" s="320"/>
      <c r="B1554" s="321"/>
      <c r="C1554" s="321"/>
      <c r="D1554" s="321"/>
      <c r="E1554" s="321"/>
      <c r="F1554" s="321"/>
      <c r="G1554" s="321"/>
      <c r="H1554" s="321"/>
      <c r="I1554" s="321"/>
      <c r="J1554" s="321"/>
      <c r="K1554" s="321"/>
      <c r="L1554" s="321"/>
      <c r="M1554" s="321"/>
      <c r="N1554" s="321"/>
      <c r="O1554" s="321"/>
      <c r="P1554" s="321"/>
      <c r="Q1554" s="321"/>
      <c r="R1554" s="321"/>
      <c r="S1554" s="321"/>
      <c r="T1554" s="321"/>
      <c r="U1554" s="321"/>
      <c r="V1554" s="321"/>
      <c r="W1554" s="321"/>
      <c r="X1554" s="321"/>
      <c r="Y1554" s="322"/>
    </row>
    <row r="1555" spans="1:25" x14ac:dyDescent="0.25">
      <c r="A1555" s="320"/>
      <c r="B1555" s="321"/>
      <c r="C1555" s="321"/>
      <c r="D1555" s="321"/>
      <c r="E1555" s="321"/>
      <c r="F1555" s="321"/>
      <c r="G1555" s="321"/>
      <c r="H1555" s="321"/>
      <c r="I1555" s="321"/>
      <c r="J1555" s="321"/>
      <c r="K1555" s="321"/>
      <c r="L1555" s="321"/>
      <c r="M1555" s="321"/>
      <c r="N1555" s="321"/>
      <c r="O1555" s="321"/>
      <c r="P1555" s="321"/>
      <c r="Q1555" s="321"/>
      <c r="R1555" s="321"/>
      <c r="S1555" s="321"/>
      <c r="T1555" s="321"/>
      <c r="U1555" s="321"/>
      <c r="V1555" s="321"/>
      <c r="W1555" s="321"/>
      <c r="X1555" s="321"/>
      <c r="Y1555" s="322"/>
    </row>
    <row r="1556" spans="1:25" x14ac:dyDescent="0.25">
      <c r="A1556" s="320"/>
      <c r="B1556" s="321"/>
      <c r="C1556" s="321"/>
      <c r="D1556" s="321"/>
      <c r="E1556" s="321"/>
      <c r="F1556" s="321"/>
      <c r="G1556" s="321"/>
      <c r="H1556" s="321"/>
      <c r="I1556" s="321"/>
      <c r="J1556" s="321"/>
      <c r="K1556" s="321"/>
      <c r="L1556" s="321"/>
      <c r="M1556" s="321"/>
      <c r="N1556" s="321"/>
      <c r="O1556" s="321"/>
      <c r="P1556" s="321"/>
      <c r="Q1556" s="321"/>
      <c r="R1556" s="321"/>
      <c r="S1556" s="321"/>
      <c r="T1556" s="321"/>
      <c r="U1556" s="321"/>
      <c r="V1556" s="321"/>
      <c r="W1556" s="321"/>
      <c r="X1556" s="321"/>
      <c r="Y1556" s="322"/>
    </row>
    <row r="1557" spans="1:25" x14ac:dyDescent="0.25">
      <c r="A1557" s="320"/>
      <c r="B1557" s="321"/>
      <c r="C1557" s="321"/>
      <c r="D1557" s="321"/>
      <c r="E1557" s="321"/>
      <c r="F1557" s="321"/>
      <c r="G1557" s="321"/>
      <c r="H1557" s="321"/>
      <c r="I1557" s="321"/>
      <c r="J1557" s="321"/>
      <c r="K1557" s="321"/>
      <c r="L1557" s="321"/>
      <c r="M1557" s="321"/>
      <c r="N1557" s="321"/>
      <c r="O1557" s="321"/>
      <c r="P1557" s="321"/>
      <c r="Q1557" s="321"/>
      <c r="R1557" s="321"/>
      <c r="S1557" s="321"/>
      <c r="T1557" s="321"/>
      <c r="U1557" s="321"/>
      <c r="V1557" s="321"/>
      <c r="W1557" s="321"/>
      <c r="X1557" s="321"/>
      <c r="Y1557" s="322"/>
    </row>
    <row r="1558" spans="1:25" ht="15.75" thickBot="1" x14ac:dyDescent="0.3">
      <c r="A1558" s="323"/>
      <c r="B1558" s="324"/>
      <c r="C1558" s="324"/>
      <c r="D1558" s="324"/>
      <c r="E1558" s="324"/>
      <c r="F1558" s="324"/>
      <c r="G1558" s="324"/>
      <c r="H1558" s="324"/>
      <c r="I1558" s="324"/>
      <c r="J1558" s="324"/>
      <c r="K1558" s="324"/>
      <c r="L1558" s="324"/>
      <c r="M1558" s="324"/>
      <c r="N1558" s="324"/>
      <c r="O1558" s="324"/>
      <c r="P1558" s="324"/>
      <c r="Q1558" s="324"/>
      <c r="R1558" s="324"/>
      <c r="S1558" s="324"/>
      <c r="T1558" s="324"/>
      <c r="U1558" s="324"/>
      <c r="V1558" s="324"/>
      <c r="W1558" s="324"/>
      <c r="X1558" s="324"/>
      <c r="Y1558" s="325"/>
    </row>
    <row r="1560" spans="1:25" ht="15.75" thickBot="1" x14ac:dyDescent="0.3">
      <c r="A1560" s="326" t="s">
        <v>27</v>
      </c>
      <c r="B1560" s="326"/>
      <c r="C1560" s="326"/>
      <c r="D1560" s="326"/>
      <c r="E1560" s="326"/>
      <c r="F1560" s="326"/>
      <c r="G1560" s="326"/>
      <c r="H1560" s="326"/>
    </row>
    <row r="1561" spans="1:25" ht="15.75" thickBot="1" x14ac:dyDescent="0.3">
      <c r="A1561" s="327" t="s">
        <v>363</v>
      </c>
      <c r="B1561" s="328"/>
      <c r="C1561" s="328"/>
      <c r="D1561" s="328"/>
      <c r="E1561" s="328"/>
      <c r="F1561" s="328"/>
      <c r="G1561" s="328"/>
      <c r="H1561" s="328"/>
      <c r="I1561" s="328"/>
      <c r="J1561" s="328"/>
      <c r="K1561" s="328"/>
      <c r="L1561" s="328"/>
      <c r="M1561" s="328"/>
      <c r="N1561" s="328"/>
      <c r="O1561" s="328"/>
      <c r="P1561" s="328"/>
      <c r="Q1561" s="328"/>
      <c r="R1561" s="328"/>
      <c r="S1561" s="328"/>
      <c r="T1561" s="328"/>
      <c r="U1561" s="328"/>
      <c r="V1561" s="328"/>
      <c r="W1561" s="328"/>
      <c r="X1561" s="328"/>
      <c r="Y1561" s="329"/>
    </row>
    <row r="1563" spans="1:25" ht="15.75" thickBot="1" x14ac:dyDescent="0.3">
      <c r="A1563" s="326" t="s">
        <v>121</v>
      </c>
      <c r="B1563" s="326"/>
      <c r="C1563" s="326"/>
      <c r="E1563" s="326" t="s">
        <v>122</v>
      </c>
      <c r="F1563" s="326"/>
      <c r="G1563" s="326"/>
    </row>
    <row r="1564" spans="1:25" ht="15.75" thickBot="1" x14ac:dyDescent="0.3">
      <c r="A1564" s="330" t="s">
        <v>64</v>
      </c>
      <c r="B1564" s="331"/>
      <c r="E1564" s="330" t="s">
        <v>66</v>
      </c>
      <c r="F1564" s="33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528">
    <mergeCell ref="A1563:C1563"/>
    <mergeCell ref="E1563:G1563"/>
    <mergeCell ref="A1564:B1564"/>
    <mergeCell ref="E1564:F1564"/>
    <mergeCell ref="A1533:B1533"/>
    <mergeCell ref="E1533:F1533"/>
    <mergeCell ref="A1535:F1535"/>
    <mergeCell ref="H1535:J1535"/>
    <mergeCell ref="A1536:Y1549"/>
    <mergeCell ref="A1551:D1551"/>
    <mergeCell ref="A1552:Y1558"/>
    <mergeCell ref="A1560:H1560"/>
    <mergeCell ref="A1561:Y1561"/>
    <mergeCell ref="A1504:F1504"/>
    <mergeCell ref="H1504:J1504"/>
    <mergeCell ref="A1505:Y1518"/>
    <mergeCell ref="A1520:D1520"/>
    <mergeCell ref="A1521:Y1527"/>
    <mergeCell ref="A1529:H1529"/>
    <mergeCell ref="A1530:Y1530"/>
    <mergeCell ref="A1532:C1532"/>
    <mergeCell ref="E1532:G1532"/>
    <mergeCell ref="A1489:D1489"/>
    <mergeCell ref="A1490:Y1496"/>
    <mergeCell ref="A1498:H1498"/>
    <mergeCell ref="A1499:Y1499"/>
    <mergeCell ref="A1501:C1501"/>
    <mergeCell ref="E1501:G1501"/>
    <mergeCell ref="A1502:B1502"/>
    <mergeCell ref="E1502:F1502"/>
    <mergeCell ref="A1467:H1467"/>
    <mergeCell ref="A1468:Y1468"/>
    <mergeCell ref="A1470:C1470"/>
    <mergeCell ref="E1470:G1470"/>
    <mergeCell ref="A1471:B1471"/>
    <mergeCell ref="E1471:F1471"/>
    <mergeCell ref="A1473:F1473"/>
    <mergeCell ref="H1473:J1473"/>
    <mergeCell ref="A1474:Y1487"/>
    <mergeCell ref="A1438:C1438"/>
    <mergeCell ref="E1438:G1438"/>
    <mergeCell ref="A1439:B1439"/>
    <mergeCell ref="E1439:F1439"/>
    <mergeCell ref="A1442:F1442"/>
    <mergeCell ref="H1442:J1442"/>
    <mergeCell ref="A1443:Y1456"/>
    <mergeCell ref="A1458:D1458"/>
    <mergeCell ref="A1459:Y1465"/>
    <mergeCell ref="A1408:B1408"/>
    <mergeCell ref="E1408:F1408"/>
    <mergeCell ref="A1410:F1410"/>
    <mergeCell ref="H1410:J1410"/>
    <mergeCell ref="A1411:Y1424"/>
    <mergeCell ref="A1426:D1426"/>
    <mergeCell ref="A1427:Y1433"/>
    <mergeCell ref="A1435:H1435"/>
    <mergeCell ref="A1436:Y1436"/>
    <mergeCell ref="A1379:F1379"/>
    <mergeCell ref="H1379:J1379"/>
    <mergeCell ref="A1380:Y1393"/>
    <mergeCell ref="A1395:D1395"/>
    <mergeCell ref="A1396:Y1402"/>
    <mergeCell ref="A1404:H1404"/>
    <mergeCell ref="A1405:Y1405"/>
    <mergeCell ref="A1407:C1407"/>
    <mergeCell ref="E1407:G1407"/>
    <mergeCell ref="A1219:B1219"/>
    <mergeCell ref="E1219:F1219"/>
    <mergeCell ref="A1190:F1190"/>
    <mergeCell ref="H1190:J1190"/>
    <mergeCell ref="A1191:Y1204"/>
    <mergeCell ref="A1206:D1206"/>
    <mergeCell ref="A1207:Y1213"/>
    <mergeCell ref="A1215:H1215"/>
    <mergeCell ref="A1216:Y1216"/>
    <mergeCell ref="A1218:C1218"/>
    <mergeCell ref="E1218:G1218"/>
    <mergeCell ref="A1186:B1186"/>
    <mergeCell ref="E1186:F1186"/>
    <mergeCell ref="A1157:F1157"/>
    <mergeCell ref="H1157:J1157"/>
    <mergeCell ref="A1158:Y1171"/>
    <mergeCell ref="A1173:D1173"/>
    <mergeCell ref="A1174:Y1180"/>
    <mergeCell ref="A1182:H1182"/>
    <mergeCell ref="A1183:Y1183"/>
    <mergeCell ref="A1185:C1185"/>
    <mergeCell ref="E1185:G11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1221:F1221"/>
    <mergeCell ref="H1221:J1221"/>
    <mergeCell ref="A1222:Y1235"/>
    <mergeCell ref="A1237:D1237"/>
    <mergeCell ref="A1238:Y1244"/>
    <mergeCell ref="A1246:H1246"/>
    <mergeCell ref="A1247:Y1247"/>
    <mergeCell ref="A1249:C1249"/>
    <mergeCell ref="E1249:G1249"/>
    <mergeCell ref="A1250:B1250"/>
    <mergeCell ref="E1250:F1250"/>
    <mergeCell ref="A1252:F1252"/>
    <mergeCell ref="H1252:J1252"/>
    <mergeCell ref="A1253:Y1266"/>
    <mergeCell ref="A1268:D1268"/>
    <mergeCell ref="A1269:Y1275"/>
    <mergeCell ref="A1277:H1277"/>
    <mergeCell ref="A1278:Y1278"/>
    <mergeCell ref="A1280:C1280"/>
    <mergeCell ref="E1280:G1280"/>
    <mergeCell ref="A1281:B1281"/>
    <mergeCell ref="E1281:F1281"/>
    <mergeCell ref="A1284:F1284"/>
    <mergeCell ref="H1284:J1284"/>
    <mergeCell ref="A1285:Y1298"/>
    <mergeCell ref="A1300:D1300"/>
    <mergeCell ref="A1301:Y1307"/>
    <mergeCell ref="A1309:H1309"/>
    <mergeCell ref="A1310:Y1310"/>
    <mergeCell ref="A1312:C1312"/>
    <mergeCell ref="E1312:G1312"/>
    <mergeCell ref="A1313:B1313"/>
    <mergeCell ref="E1313:F1313"/>
    <mergeCell ref="A1316:F1316"/>
    <mergeCell ref="H1316:J1316"/>
    <mergeCell ref="A1317:Y1330"/>
    <mergeCell ref="A1332:D1332"/>
    <mergeCell ref="A1333:Y1339"/>
    <mergeCell ref="A1341:H1341"/>
    <mergeCell ref="A1342:Y1342"/>
    <mergeCell ref="A1344:C1344"/>
    <mergeCell ref="E1344:G1344"/>
    <mergeCell ref="A1345:B1345"/>
    <mergeCell ref="E1345:F1345"/>
    <mergeCell ref="A1347:F1347"/>
    <mergeCell ref="H1347:J1347"/>
    <mergeCell ref="A1348:Y1361"/>
    <mergeCell ref="A1363:D1363"/>
    <mergeCell ref="A1364:Y1370"/>
    <mergeCell ref="A1372:H1372"/>
    <mergeCell ref="A1373:Y1373"/>
    <mergeCell ref="A1375:C1375"/>
    <mergeCell ref="E1375:G1375"/>
    <mergeCell ref="A1376:B1376"/>
    <mergeCell ref="E1376:F1376"/>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A1186:B1186 E1186:F1186 A1219:B1219 E1219:F1219 A1250:B1250 E1250:F1250 A1281:B1281 E1281:F1281 A1313:B1313 E1313:F1313 A1345:B1345 E1345:F1345 A1376:B1376 E1376:F1376 A1408:B1408 E1408:F1408 A1439:B1439 E1439:F1439 A1471:B1471 E1471:F1471 A1502:B1502 E1502:F1502 A1533:B1533 E1533:F1533 A1564:B1564 E1564:F1564">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4"/>
  <sheetViews>
    <sheetView tabSelected="1" topLeftCell="J137" zoomScale="60" zoomScaleNormal="60" workbookViewId="0">
      <selection activeCell="W145" sqref="W145"/>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21.5703125" customWidth="1"/>
    <col min="16" max="16" width="20.42578125" customWidth="1"/>
    <col min="17" max="17" width="13.140625" style="57" customWidth="1"/>
    <col min="18" max="18" width="20.85546875" style="3" customWidth="1"/>
    <col min="19" max="19" width="22.7109375" style="24" customWidth="1"/>
    <col min="20" max="20" width="25.85546875" style="3" customWidth="1"/>
    <col min="21" max="21" width="38.28515625" style="24" customWidth="1"/>
    <col min="22" max="22" width="28" customWidth="1"/>
    <col min="23" max="23" width="41.28515625" customWidth="1"/>
  </cols>
  <sheetData>
    <row r="1" spans="1:25" ht="19.5" thickBot="1" x14ac:dyDescent="0.35">
      <c r="A1" s="53" t="s">
        <v>125</v>
      </c>
      <c r="B1" s="53"/>
      <c r="C1" s="53"/>
      <c r="D1" s="372">
        <v>327480.36</v>
      </c>
      <c r="E1" s="373"/>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126</v>
      </c>
      <c r="B6" s="54"/>
      <c r="C6" s="54"/>
      <c r="D6" s="54"/>
      <c r="E6" s="54"/>
      <c r="F6" s="86"/>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32</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105</v>
      </c>
      <c r="B10" s="55"/>
      <c r="C10" s="55"/>
      <c r="D10" s="55"/>
      <c r="E10" s="55"/>
      <c r="F10" s="55"/>
      <c r="G10" s="55"/>
      <c r="H10" s="55"/>
      <c r="I10" s="55"/>
      <c r="J10" s="55"/>
      <c r="K10" s="55"/>
      <c r="Q10"/>
      <c r="R10"/>
      <c r="S10"/>
      <c r="U10"/>
    </row>
    <row r="11" spans="1:25" x14ac:dyDescent="0.25">
      <c r="A11" s="351"/>
      <c r="B11" s="352"/>
      <c r="C11" s="352"/>
      <c r="D11" s="352"/>
      <c r="E11" s="352"/>
      <c r="F11" s="352"/>
      <c r="G11" s="352"/>
      <c r="H11" s="352"/>
      <c r="I11" s="352"/>
      <c r="J11" s="352"/>
      <c r="K11" s="352"/>
      <c r="L11" s="352"/>
      <c r="M11" s="352"/>
      <c r="N11" s="352"/>
      <c r="O11" s="352"/>
      <c r="P11" s="352"/>
      <c r="Q11" s="353"/>
      <c r="R11" s="15"/>
      <c r="S11" s="15"/>
      <c r="T11" s="66"/>
      <c r="U11" s="15"/>
      <c r="V11" s="15"/>
      <c r="W11" s="15"/>
      <c r="X11" s="15"/>
      <c r="Y11" s="15"/>
    </row>
    <row r="12" spans="1:25" x14ac:dyDescent="0.25">
      <c r="A12" s="354"/>
      <c r="B12" s="355"/>
      <c r="C12" s="355"/>
      <c r="D12" s="355"/>
      <c r="E12" s="355"/>
      <c r="F12" s="355"/>
      <c r="G12" s="355"/>
      <c r="H12" s="355"/>
      <c r="I12" s="355"/>
      <c r="J12" s="355"/>
      <c r="K12" s="355"/>
      <c r="L12" s="355"/>
      <c r="M12" s="355"/>
      <c r="N12" s="355"/>
      <c r="O12" s="355"/>
      <c r="P12" s="355"/>
      <c r="Q12" s="356"/>
      <c r="R12" s="15"/>
      <c r="S12" s="15"/>
      <c r="T12" s="66"/>
      <c r="U12" s="15"/>
      <c r="V12" s="15"/>
      <c r="W12" s="15"/>
      <c r="X12" s="15"/>
      <c r="Y12" s="15"/>
    </row>
    <row r="13" spans="1:25" x14ac:dyDescent="0.25">
      <c r="A13" s="354"/>
      <c r="B13" s="355"/>
      <c r="C13" s="355"/>
      <c r="D13" s="355"/>
      <c r="E13" s="355"/>
      <c r="F13" s="355"/>
      <c r="G13" s="355"/>
      <c r="H13" s="355"/>
      <c r="I13" s="355"/>
      <c r="J13" s="355"/>
      <c r="K13" s="355"/>
      <c r="L13" s="355"/>
      <c r="M13" s="355"/>
      <c r="N13" s="355"/>
      <c r="O13" s="355"/>
      <c r="P13" s="355"/>
      <c r="Q13" s="356"/>
      <c r="R13" s="15"/>
      <c r="S13" s="15"/>
      <c r="T13" s="66"/>
      <c r="U13" s="15"/>
      <c r="V13" s="15"/>
      <c r="W13" s="15"/>
      <c r="X13" s="15"/>
      <c r="Y13" s="15"/>
    </row>
    <row r="14" spans="1:25" x14ac:dyDescent="0.25">
      <c r="A14" s="354"/>
      <c r="B14" s="355"/>
      <c r="C14" s="355"/>
      <c r="D14" s="355"/>
      <c r="E14" s="355"/>
      <c r="F14" s="355"/>
      <c r="G14" s="355"/>
      <c r="H14" s="355"/>
      <c r="I14" s="355"/>
      <c r="J14" s="355"/>
      <c r="K14" s="355"/>
      <c r="L14" s="355"/>
      <c r="M14" s="355"/>
      <c r="N14" s="355"/>
      <c r="O14" s="355"/>
      <c r="P14" s="355"/>
      <c r="Q14" s="356"/>
      <c r="R14" s="15"/>
      <c r="S14" s="15"/>
      <c r="T14" s="66"/>
      <c r="U14" s="15"/>
      <c r="V14" s="15"/>
      <c r="W14" s="15"/>
      <c r="X14" s="15"/>
      <c r="Y14" s="15"/>
    </row>
    <row r="15" spans="1:25" ht="15.75" thickBot="1" x14ac:dyDescent="0.3">
      <c r="A15" s="357"/>
      <c r="B15" s="358"/>
      <c r="C15" s="358"/>
      <c r="D15" s="358"/>
      <c r="E15" s="358"/>
      <c r="F15" s="358"/>
      <c r="G15" s="358"/>
      <c r="H15" s="358"/>
      <c r="I15" s="358"/>
      <c r="J15" s="358"/>
      <c r="K15" s="358"/>
      <c r="L15" s="358"/>
      <c r="M15" s="358"/>
      <c r="N15" s="358"/>
      <c r="O15" s="358"/>
      <c r="P15" s="358"/>
      <c r="Q15" s="359"/>
      <c r="R15" s="15"/>
      <c r="S15" s="15"/>
      <c r="T15" s="66"/>
      <c r="U15" s="15"/>
      <c r="V15" s="15"/>
      <c r="W15" s="15"/>
      <c r="X15" s="15"/>
      <c r="Y15" s="15"/>
    </row>
    <row r="20" spans="1:23" ht="23.25" x14ac:dyDescent="0.35">
      <c r="A20" s="371" t="s">
        <v>128</v>
      </c>
      <c r="B20" s="371"/>
      <c r="C20" s="371"/>
      <c r="D20" s="371"/>
      <c r="E20" s="40"/>
      <c r="F20" s="40"/>
      <c r="G20" s="40"/>
      <c r="H20" s="40"/>
      <c r="I20" s="40"/>
      <c r="J20" s="40"/>
      <c r="K20" s="40"/>
      <c r="L20" s="40"/>
    </row>
    <row r="21" spans="1:23" s="118" customFormat="1" ht="37.5" customHeight="1" x14ac:dyDescent="0.2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c r="V21" s="122" t="s">
        <v>552</v>
      </c>
      <c r="W21" s="123" t="s">
        <v>124</v>
      </c>
    </row>
    <row r="22" spans="1:23" x14ac:dyDescent="0.2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3" s="85" customFormat="1" ht="55.5" customHeight="1" x14ac:dyDescent="0.25">
      <c r="A23" s="76">
        <v>1</v>
      </c>
      <c r="B23" s="77"/>
      <c r="C23" s="78" t="s">
        <v>63</v>
      </c>
      <c r="D23" s="76" t="s">
        <v>66</v>
      </c>
      <c r="E23" s="79" t="s">
        <v>3</v>
      </c>
      <c r="F23" s="363" t="s">
        <v>264</v>
      </c>
      <c r="G23" s="364"/>
      <c r="H23" s="364"/>
      <c r="I23" s="364"/>
      <c r="J23" s="364"/>
      <c r="K23" s="364"/>
      <c r="L23" s="364"/>
      <c r="M23" s="364"/>
      <c r="N23" s="365"/>
      <c r="O23" s="80">
        <f>13520*0.75*0.33</f>
        <v>3346.2000000000003</v>
      </c>
      <c r="P23" s="80">
        <f>13520*0.75*0.33</f>
        <v>3346.2000000000003</v>
      </c>
      <c r="Q23" s="82"/>
      <c r="R23" s="80">
        <f>13520*0.75*0.33</f>
        <v>3346.2000000000003</v>
      </c>
      <c r="S23" s="84"/>
      <c r="T23" s="80">
        <f>13520*0.75*0.33</f>
        <v>3346.2000000000003</v>
      </c>
      <c r="U23" s="84"/>
      <c r="V23" s="80">
        <f>13520*0.75*0.33</f>
        <v>3346.2000000000003</v>
      </c>
      <c r="W23" s="285"/>
    </row>
    <row r="24" spans="1:23" s="85" customFormat="1" ht="36" customHeight="1" x14ac:dyDescent="0.25">
      <c r="A24" s="76">
        <v>2</v>
      </c>
      <c r="B24" s="77"/>
      <c r="C24" s="78" t="s">
        <v>63</v>
      </c>
      <c r="D24" s="76" t="s">
        <v>66</v>
      </c>
      <c r="E24" s="79" t="s">
        <v>1</v>
      </c>
      <c r="F24" s="363" t="s">
        <v>265</v>
      </c>
      <c r="G24" s="364"/>
      <c r="H24" s="364"/>
      <c r="I24" s="364"/>
      <c r="J24" s="364"/>
      <c r="K24" s="364"/>
      <c r="L24" s="364"/>
      <c r="M24" s="364"/>
      <c r="N24" s="365"/>
      <c r="O24" s="80">
        <f>0.66*43709</f>
        <v>28847.940000000002</v>
      </c>
      <c r="P24" s="80">
        <f>0.66*43709</f>
        <v>28847.940000000002</v>
      </c>
      <c r="Q24" s="82"/>
      <c r="R24" s="80">
        <f>0.66*43709</f>
        <v>28847.940000000002</v>
      </c>
      <c r="S24" s="84"/>
      <c r="T24" s="80">
        <f>0.66*43709</f>
        <v>28847.940000000002</v>
      </c>
      <c r="U24" s="84"/>
      <c r="V24" s="285">
        <v>28847.54</v>
      </c>
      <c r="W24" s="285"/>
    </row>
    <row r="25" spans="1:23" s="85" customFormat="1" ht="36" customHeight="1" x14ac:dyDescent="0.25">
      <c r="A25" s="269">
        <v>3</v>
      </c>
      <c r="B25" s="270"/>
      <c r="C25" s="271" t="s">
        <v>63</v>
      </c>
      <c r="D25" s="269" t="s">
        <v>66</v>
      </c>
      <c r="E25" s="272" t="s">
        <v>1</v>
      </c>
      <c r="F25" s="342" t="s">
        <v>266</v>
      </c>
      <c r="G25" s="343"/>
      <c r="H25" s="343"/>
      <c r="I25" s="343"/>
      <c r="J25" s="343"/>
      <c r="K25" s="343"/>
      <c r="L25" s="343"/>
      <c r="M25" s="343"/>
      <c r="N25" s="344"/>
      <c r="O25" s="287">
        <f>0.66*0.75*40000</f>
        <v>19800</v>
      </c>
      <c r="P25" s="287">
        <f>0.66*0.75*40000</f>
        <v>19800</v>
      </c>
      <c r="Q25" s="276"/>
      <c r="R25" s="287">
        <v>3085</v>
      </c>
      <c r="S25" s="286" t="s">
        <v>505</v>
      </c>
      <c r="T25" s="287">
        <v>3085</v>
      </c>
      <c r="U25" s="84"/>
      <c r="V25" s="285">
        <v>3085</v>
      </c>
      <c r="W25" s="285"/>
    </row>
    <row r="26" spans="1:23" s="85" customFormat="1" ht="36" customHeight="1" x14ac:dyDescent="0.25">
      <c r="A26" s="269">
        <v>5</v>
      </c>
      <c r="B26" s="270"/>
      <c r="C26" s="271" t="s">
        <v>63</v>
      </c>
      <c r="D26" s="269" t="s">
        <v>66</v>
      </c>
      <c r="E26" s="272" t="s">
        <v>1</v>
      </c>
      <c r="F26" s="342" t="s">
        <v>328</v>
      </c>
      <c r="G26" s="343"/>
      <c r="H26" s="343"/>
      <c r="I26" s="343"/>
      <c r="J26" s="343"/>
      <c r="K26" s="343"/>
      <c r="L26" s="343"/>
      <c r="M26" s="343"/>
      <c r="N26" s="344"/>
      <c r="O26" s="287">
        <f>6*735</f>
        <v>4410</v>
      </c>
      <c r="P26" s="287">
        <f>6*735</f>
        <v>4410</v>
      </c>
      <c r="Q26" s="276"/>
      <c r="R26" s="287">
        <v>0</v>
      </c>
      <c r="S26" s="286" t="s">
        <v>469</v>
      </c>
      <c r="T26" s="287">
        <v>0</v>
      </c>
      <c r="U26" s="84"/>
      <c r="V26" s="285"/>
      <c r="W26" s="285"/>
    </row>
    <row r="27" spans="1:23" s="85" customFormat="1" ht="36" customHeight="1" x14ac:dyDescent="0.25">
      <c r="A27" s="76">
        <v>21</v>
      </c>
      <c r="B27" s="77"/>
      <c r="C27" s="78" t="s">
        <v>66</v>
      </c>
      <c r="D27" s="76" t="s">
        <v>66</v>
      </c>
      <c r="E27" s="79" t="s">
        <v>3</v>
      </c>
      <c r="F27" s="363" t="s">
        <v>349</v>
      </c>
      <c r="G27" s="364"/>
      <c r="H27" s="364"/>
      <c r="I27" s="364"/>
      <c r="J27" s="364"/>
      <c r="K27" s="364"/>
      <c r="L27" s="364"/>
      <c r="M27" s="364"/>
      <c r="N27" s="365"/>
      <c r="O27" s="80">
        <f>50*45</f>
        <v>2250</v>
      </c>
      <c r="P27" s="80">
        <f>50*45</f>
        <v>2250</v>
      </c>
      <c r="Q27" s="82"/>
      <c r="R27" s="80">
        <f>50*45</f>
        <v>2250</v>
      </c>
      <c r="S27" s="84"/>
      <c r="T27" s="80">
        <f>50*45</f>
        <v>2250</v>
      </c>
      <c r="U27" s="84"/>
      <c r="V27" s="285">
        <v>2250</v>
      </c>
      <c r="W27" s="285"/>
    </row>
    <row r="28" spans="1:23" s="273" customFormat="1" ht="45" customHeight="1" x14ac:dyDescent="0.25">
      <c r="A28" s="269">
        <v>26</v>
      </c>
      <c r="B28" s="270"/>
      <c r="C28" s="271" t="s">
        <v>63</v>
      </c>
      <c r="D28" s="269" t="s">
        <v>66</v>
      </c>
      <c r="E28" s="272" t="s">
        <v>3</v>
      </c>
      <c r="F28" s="342" t="s">
        <v>335</v>
      </c>
      <c r="G28" s="343"/>
      <c r="H28" s="343"/>
      <c r="I28" s="343"/>
      <c r="J28" s="343"/>
      <c r="K28" s="343"/>
      <c r="L28" s="343"/>
      <c r="M28" s="343"/>
      <c r="N28" s="344"/>
      <c r="O28" s="287">
        <f>40*2*30</f>
        <v>2400</v>
      </c>
      <c r="P28" s="287">
        <f>40*2*30</f>
        <v>2400</v>
      </c>
      <c r="Q28" s="276"/>
      <c r="R28" s="287">
        <f>40*2*30</f>
        <v>2400</v>
      </c>
      <c r="S28" s="294"/>
      <c r="T28" s="274">
        <v>0</v>
      </c>
      <c r="U28" s="294" t="s">
        <v>553</v>
      </c>
      <c r="V28" s="280">
        <v>0</v>
      </c>
      <c r="W28" s="280"/>
    </row>
    <row r="29" spans="1:23" s="85" customFormat="1" ht="36" customHeight="1" x14ac:dyDescent="0.25">
      <c r="A29" s="76">
        <v>27</v>
      </c>
      <c r="B29" s="77"/>
      <c r="C29" s="78" t="s">
        <v>63</v>
      </c>
      <c r="D29" s="76" t="s">
        <v>66</v>
      </c>
      <c r="E29" s="79" t="s">
        <v>3</v>
      </c>
      <c r="F29" s="363" t="s">
        <v>339</v>
      </c>
      <c r="G29" s="364"/>
      <c r="H29" s="364"/>
      <c r="I29" s="364"/>
      <c r="J29" s="364"/>
      <c r="K29" s="364"/>
      <c r="L29" s="364"/>
      <c r="M29" s="364"/>
      <c r="N29" s="365"/>
      <c r="O29" s="80">
        <f>2*1000</f>
        <v>2000</v>
      </c>
      <c r="P29" s="80">
        <f>2*1000</f>
        <v>2000</v>
      </c>
      <c r="Q29" s="82"/>
      <c r="R29" s="80">
        <f>2*1000</f>
        <v>2000</v>
      </c>
      <c r="S29" s="84"/>
      <c r="T29" s="80">
        <f>2*1000</f>
        <v>2000</v>
      </c>
      <c r="U29" s="84"/>
      <c r="V29" s="285">
        <v>2000</v>
      </c>
      <c r="W29" s="285"/>
    </row>
    <row r="30" spans="1:23" s="85" customFormat="1" ht="36" customHeight="1" x14ac:dyDescent="0.25">
      <c r="A30" s="76">
        <v>30</v>
      </c>
      <c r="B30" s="77"/>
      <c r="C30" s="78" t="s">
        <v>66</v>
      </c>
      <c r="D30" s="76" t="s">
        <v>66</v>
      </c>
      <c r="E30" s="79" t="s">
        <v>3</v>
      </c>
      <c r="F30" s="363" t="s">
        <v>353</v>
      </c>
      <c r="G30" s="364"/>
      <c r="H30" s="364"/>
      <c r="I30" s="364"/>
      <c r="J30" s="364"/>
      <c r="K30" s="364"/>
      <c r="L30" s="364"/>
      <c r="M30" s="364"/>
      <c r="N30" s="365"/>
      <c r="O30" s="80">
        <f>2*700</f>
        <v>1400</v>
      </c>
      <c r="P30" s="80">
        <f>2*700</f>
        <v>1400</v>
      </c>
      <c r="Q30" s="82"/>
      <c r="R30" s="80">
        <f>2*700</f>
        <v>1400</v>
      </c>
      <c r="S30" s="84"/>
      <c r="T30" s="80">
        <f>2*700</f>
        <v>1400</v>
      </c>
      <c r="U30" s="84"/>
      <c r="V30" s="285">
        <v>1400</v>
      </c>
      <c r="W30" s="285"/>
    </row>
    <row r="31" spans="1:23" s="85" customFormat="1" ht="36" customHeight="1" x14ac:dyDescent="0.25">
      <c r="A31" s="76"/>
      <c r="B31" s="77"/>
      <c r="C31" s="78"/>
      <c r="D31" s="76"/>
      <c r="E31" s="79"/>
      <c r="F31" s="363"/>
      <c r="G31" s="364"/>
      <c r="H31" s="364"/>
      <c r="I31" s="364"/>
      <c r="J31" s="364"/>
      <c r="K31" s="364"/>
      <c r="L31" s="364"/>
      <c r="M31" s="364"/>
      <c r="N31" s="365"/>
      <c r="O31" s="80"/>
      <c r="P31" s="81"/>
      <c r="Q31" s="82"/>
      <c r="R31" s="83"/>
      <c r="S31" s="84"/>
      <c r="T31" s="83"/>
      <c r="U31" s="84"/>
      <c r="V31" s="285"/>
      <c r="W31" s="285"/>
    </row>
    <row r="32" spans="1:23" s="85" customFormat="1" ht="36" customHeight="1" x14ac:dyDescent="0.25">
      <c r="A32" s="76"/>
      <c r="B32" s="77"/>
      <c r="C32" s="78"/>
      <c r="D32" s="76"/>
      <c r="E32" s="79"/>
      <c r="F32" s="363"/>
      <c r="G32" s="364"/>
      <c r="H32" s="364"/>
      <c r="I32" s="364"/>
      <c r="J32" s="364"/>
      <c r="K32" s="364"/>
      <c r="L32" s="364"/>
      <c r="M32" s="364"/>
      <c r="N32" s="365"/>
      <c r="O32" s="80"/>
      <c r="P32" s="81"/>
      <c r="Q32" s="82"/>
      <c r="R32" s="83"/>
      <c r="S32" s="84"/>
      <c r="T32" s="83"/>
      <c r="U32" s="84"/>
      <c r="V32" s="285"/>
      <c r="W32" s="285"/>
    </row>
    <row r="33" spans="1:23" s="85" customFormat="1" ht="36" customHeight="1" x14ac:dyDescent="0.25">
      <c r="A33" s="76"/>
      <c r="B33" s="77"/>
      <c r="C33" s="78"/>
      <c r="D33" s="76"/>
      <c r="E33" s="79"/>
      <c r="F33" s="363"/>
      <c r="G33" s="364"/>
      <c r="H33" s="364"/>
      <c r="I33" s="364"/>
      <c r="J33" s="364"/>
      <c r="K33" s="364"/>
      <c r="L33" s="364"/>
      <c r="M33" s="364"/>
      <c r="N33" s="365"/>
      <c r="O33" s="80"/>
      <c r="P33" s="81"/>
      <c r="Q33" s="82"/>
      <c r="R33" s="83"/>
      <c r="S33" s="84"/>
      <c r="T33" s="83"/>
      <c r="U33" s="84"/>
      <c r="V33" s="285"/>
      <c r="W33" s="285"/>
    </row>
    <row r="34" spans="1:23" s="1" customFormat="1" x14ac:dyDescent="0.25">
      <c r="L34" s="34" t="s">
        <v>129</v>
      </c>
      <c r="O34" s="34">
        <f>SUM(O23:O33)</f>
        <v>64454.14</v>
      </c>
      <c r="P34" s="34">
        <f>SUM(P23:P33)</f>
        <v>64454.14</v>
      </c>
      <c r="Q34" s="26"/>
      <c r="R34" s="166">
        <f>SUM(R23:R33)</f>
        <v>43329.14</v>
      </c>
      <c r="S34" s="26"/>
      <c r="T34" s="166">
        <f>SUM(T23:T33)</f>
        <v>40929.14</v>
      </c>
      <c r="U34" s="26"/>
      <c r="V34" s="166">
        <f>SUM(V23:V33)</f>
        <v>40928.740000000005</v>
      </c>
    </row>
    <row r="36" spans="1:23" s="118" customFormat="1" ht="37.5" customHeight="1" x14ac:dyDescent="0.25">
      <c r="A36" s="119" t="s">
        <v>203</v>
      </c>
      <c r="B36" s="120"/>
      <c r="C36" s="120"/>
      <c r="D36" s="120"/>
      <c r="E36" s="120"/>
      <c r="F36" s="120"/>
      <c r="G36" s="120"/>
      <c r="H36" s="120"/>
      <c r="I36" s="120"/>
      <c r="J36" s="120"/>
      <c r="K36" s="120"/>
      <c r="L36" s="120"/>
      <c r="M36" s="120"/>
      <c r="N36" s="121"/>
      <c r="O36" s="122" t="s">
        <v>123</v>
      </c>
      <c r="P36" s="122" t="s">
        <v>38</v>
      </c>
      <c r="Q36" s="123" t="s">
        <v>124</v>
      </c>
      <c r="R36" s="122" t="s">
        <v>39</v>
      </c>
      <c r="S36" s="123" t="s">
        <v>124</v>
      </c>
      <c r="T36" s="122" t="s">
        <v>40</v>
      </c>
      <c r="U36" s="123" t="s">
        <v>124</v>
      </c>
      <c r="V36" s="122" t="s">
        <v>552</v>
      </c>
      <c r="W36" s="123" t="s">
        <v>124</v>
      </c>
    </row>
    <row r="37" spans="1:23" x14ac:dyDescent="0.25">
      <c r="A37" s="58" t="s">
        <v>114</v>
      </c>
      <c r="B37" s="59"/>
      <c r="C37" s="27" t="s">
        <v>109</v>
      </c>
      <c r="D37" s="27" t="s">
        <v>108</v>
      </c>
      <c r="E37" s="64" t="s">
        <v>33</v>
      </c>
      <c r="F37" s="58" t="s">
        <v>34</v>
      </c>
      <c r="G37" s="60"/>
      <c r="H37" s="60"/>
      <c r="I37" s="60"/>
      <c r="J37" s="60"/>
      <c r="K37" s="60"/>
      <c r="L37" s="60"/>
      <c r="M37" s="60"/>
      <c r="N37" s="59"/>
      <c r="O37" s="23" t="s">
        <v>35</v>
      </c>
      <c r="P37" s="23" t="s">
        <v>35</v>
      </c>
      <c r="Q37" s="30"/>
      <c r="R37" s="7" t="s">
        <v>35</v>
      </c>
      <c r="S37" s="31"/>
      <c r="T37" s="7" t="s">
        <v>35</v>
      </c>
      <c r="U37" s="31"/>
      <c r="V37" s="6"/>
      <c r="W37" s="6"/>
    </row>
    <row r="38" spans="1:23" s="85" customFormat="1" ht="45" customHeight="1" x14ac:dyDescent="0.25">
      <c r="A38" s="76">
        <v>1</v>
      </c>
      <c r="B38" s="77"/>
      <c r="C38" s="78" t="s">
        <v>63</v>
      </c>
      <c r="D38" s="76" t="s">
        <v>66</v>
      </c>
      <c r="E38" s="87" t="s">
        <v>4</v>
      </c>
      <c r="F38" s="363" t="s">
        <v>323</v>
      </c>
      <c r="G38" s="364"/>
      <c r="H38" s="364"/>
      <c r="I38" s="364"/>
      <c r="J38" s="364"/>
      <c r="K38" s="364"/>
      <c r="L38" s="364"/>
      <c r="M38" s="364"/>
      <c r="N38" s="365"/>
      <c r="O38" s="80">
        <f>2105*0.75*0.33</f>
        <v>520.98750000000007</v>
      </c>
      <c r="P38" s="80">
        <f>2105*0.75*0.33</f>
        <v>520.98750000000007</v>
      </c>
      <c r="Q38" s="82"/>
      <c r="R38" s="80">
        <f>2105*0.75*0.33</f>
        <v>520.98750000000007</v>
      </c>
      <c r="S38" s="84"/>
      <c r="T38" s="80">
        <f>2105*0.75*0.33</f>
        <v>520.98750000000007</v>
      </c>
      <c r="U38" s="84"/>
      <c r="V38" s="80">
        <f>2105*0.75*0.33</f>
        <v>520.98750000000007</v>
      </c>
      <c r="W38" s="285"/>
    </row>
    <row r="39" spans="1:23" s="85" customFormat="1" ht="45" customHeight="1" x14ac:dyDescent="0.25">
      <c r="A39" s="76">
        <v>2</v>
      </c>
      <c r="B39" s="77"/>
      <c r="C39" s="78" t="s">
        <v>63</v>
      </c>
      <c r="D39" s="76" t="s">
        <v>66</v>
      </c>
      <c r="E39" s="87" t="s">
        <v>4</v>
      </c>
      <c r="F39" s="374" t="s">
        <v>321</v>
      </c>
      <c r="G39" s="374"/>
      <c r="H39" s="374"/>
      <c r="I39" s="374"/>
      <c r="J39" s="374"/>
      <c r="K39" s="374"/>
      <c r="L39" s="374"/>
      <c r="M39" s="374"/>
      <c r="N39" s="374"/>
      <c r="O39" s="80">
        <f>9538*0.66</f>
        <v>6295.08</v>
      </c>
      <c r="P39" s="80">
        <f>9538*0.66</f>
        <v>6295.08</v>
      </c>
      <c r="Q39" s="82"/>
      <c r="R39" s="80">
        <f>9538*0.66</f>
        <v>6295.08</v>
      </c>
      <c r="S39" s="84"/>
      <c r="T39" s="80">
        <f>9538*0.66</f>
        <v>6295.08</v>
      </c>
      <c r="U39" s="84"/>
      <c r="V39" s="80">
        <f>9538*0.66</f>
        <v>6295.08</v>
      </c>
      <c r="W39" s="285"/>
    </row>
    <row r="40" spans="1:23" s="85" customFormat="1" ht="45" customHeight="1" x14ac:dyDescent="0.25">
      <c r="A40" s="269">
        <v>3</v>
      </c>
      <c r="B40" s="270"/>
      <c r="C40" s="271" t="s">
        <v>63</v>
      </c>
      <c r="D40" s="269" t="s">
        <v>66</v>
      </c>
      <c r="E40" s="275" t="s">
        <v>4</v>
      </c>
      <c r="F40" s="342" t="s">
        <v>322</v>
      </c>
      <c r="G40" s="343"/>
      <c r="H40" s="343"/>
      <c r="I40" s="343"/>
      <c r="J40" s="343"/>
      <c r="K40" s="343"/>
      <c r="L40" s="343"/>
      <c r="M40" s="343"/>
      <c r="N40" s="344"/>
      <c r="O40" s="287">
        <f>7630*0.66*0.75</f>
        <v>3776.8500000000004</v>
      </c>
      <c r="P40" s="287">
        <f>7630*0.66*0.75</f>
        <v>3776.8500000000004</v>
      </c>
      <c r="Q40" s="276"/>
      <c r="R40" s="287">
        <v>461</v>
      </c>
      <c r="S40" s="286" t="s">
        <v>505</v>
      </c>
      <c r="T40" s="287">
        <v>461</v>
      </c>
      <c r="U40" s="84"/>
      <c r="V40" s="287">
        <v>461</v>
      </c>
      <c r="W40" s="285"/>
    </row>
    <row r="41" spans="1:23" s="85" customFormat="1" ht="36" customHeight="1" x14ac:dyDescent="0.25">
      <c r="A41" s="269">
        <v>5</v>
      </c>
      <c r="B41" s="270"/>
      <c r="C41" s="271" t="s">
        <v>63</v>
      </c>
      <c r="D41" s="269" t="s">
        <v>66</v>
      </c>
      <c r="E41" s="275" t="s">
        <v>4</v>
      </c>
      <c r="F41" s="342" t="s">
        <v>327</v>
      </c>
      <c r="G41" s="343"/>
      <c r="H41" s="343"/>
      <c r="I41" s="343"/>
      <c r="J41" s="343"/>
      <c r="K41" s="343"/>
      <c r="L41" s="343"/>
      <c r="M41" s="343"/>
      <c r="N41" s="344"/>
      <c r="O41" s="287">
        <v>841.3</v>
      </c>
      <c r="P41" s="287">
        <v>841.3</v>
      </c>
      <c r="Q41" s="276"/>
      <c r="R41" s="287">
        <v>0</v>
      </c>
      <c r="S41" s="286" t="s">
        <v>469</v>
      </c>
      <c r="T41" s="287">
        <v>0</v>
      </c>
      <c r="U41" s="84"/>
      <c r="V41" s="287">
        <v>0</v>
      </c>
      <c r="W41" s="285"/>
    </row>
    <row r="42" spans="1:23" s="85" customFormat="1" ht="36" customHeight="1" x14ac:dyDescent="0.25">
      <c r="A42" s="269">
        <v>21</v>
      </c>
      <c r="B42" s="270"/>
      <c r="C42" s="271" t="s">
        <v>66</v>
      </c>
      <c r="D42" s="269" t="s">
        <v>66</v>
      </c>
      <c r="E42" s="275" t="s">
        <v>4</v>
      </c>
      <c r="F42" s="342" t="s">
        <v>324</v>
      </c>
      <c r="G42" s="343"/>
      <c r="H42" s="343"/>
      <c r="I42" s="343"/>
      <c r="J42" s="343"/>
      <c r="K42" s="343"/>
      <c r="L42" s="343"/>
      <c r="M42" s="343"/>
      <c r="N42" s="344"/>
      <c r="O42" s="287">
        <v>428</v>
      </c>
      <c r="P42" s="287">
        <v>428</v>
      </c>
      <c r="Q42" s="276"/>
      <c r="R42" s="287">
        <v>428</v>
      </c>
      <c r="S42" s="286"/>
      <c r="T42" s="287">
        <v>428</v>
      </c>
      <c r="U42" s="84"/>
      <c r="V42" s="287">
        <v>428</v>
      </c>
      <c r="W42" s="285"/>
    </row>
    <row r="43" spans="1:23" s="85" customFormat="1" ht="45" customHeight="1" x14ac:dyDescent="0.25">
      <c r="A43" s="269">
        <v>1</v>
      </c>
      <c r="B43" s="270"/>
      <c r="C43" s="271" t="s">
        <v>63</v>
      </c>
      <c r="D43" s="269" t="s">
        <v>66</v>
      </c>
      <c r="E43" s="275" t="s">
        <v>4</v>
      </c>
      <c r="F43" s="342" t="s">
        <v>325</v>
      </c>
      <c r="G43" s="343"/>
      <c r="H43" s="343"/>
      <c r="I43" s="343"/>
      <c r="J43" s="343"/>
      <c r="K43" s="343"/>
      <c r="L43" s="343"/>
      <c r="M43" s="343"/>
      <c r="N43" s="344"/>
      <c r="O43" s="287">
        <f>12648*0.75*0.33</f>
        <v>3130.38</v>
      </c>
      <c r="P43" s="287">
        <f>12648*0.75*0.33</f>
        <v>3130.38</v>
      </c>
      <c r="Q43" s="276"/>
      <c r="R43" s="287">
        <f>12648*0.75*0.33</f>
        <v>3130.38</v>
      </c>
      <c r="S43" s="286"/>
      <c r="T43" s="287">
        <f>12648*0.75*0.33</f>
        <v>3130.38</v>
      </c>
      <c r="U43" s="84"/>
      <c r="V43" s="287">
        <f>12648*0.75*0.33</f>
        <v>3130.38</v>
      </c>
      <c r="W43" s="285"/>
    </row>
    <row r="44" spans="1:23" s="85" customFormat="1" ht="36" customHeight="1" x14ac:dyDescent="0.25">
      <c r="A44" s="269">
        <v>2</v>
      </c>
      <c r="B44" s="270"/>
      <c r="C44" s="271" t="s">
        <v>63</v>
      </c>
      <c r="D44" s="269" t="s">
        <v>66</v>
      </c>
      <c r="E44" s="275" t="s">
        <v>4</v>
      </c>
      <c r="F44" s="342" t="s">
        <v>326</v>
      </c>
      <c r="G44" s="343"/>
      <c r="H44" s="343"/>
      <c r="I44" s="343"/>
      <c r="J44" s="343"/>
      <c r="K44" s="343"/>
      <c r="L44" s="343"/>
      <c r="M44" s="343"/>
      <c r="N44" s="344"/>
      <c r="O44" s="287">
        <f>12648*0.66</f>
        <v>8347.68</v>
      </c>
      <c r="P44" s="287">
        <f>12648*0.66</f>
        <v>8347.68</v>
      </c>
      <c r="Q44" s="276"/>
      <c r="R44" s="287">
        <f>12648*0.66</f>
        <v>8347.68</v>
      </c>
      <c r="S44" s="286"/>
      <c r="T44" s="287">
        <f>12648*0.66</f>
        <v>8347.68</v>
      </c>
      <c r="U44" s="84"/>
      <c r="V44" s="287">
        <f>12648*0.66</f>
        <v>8347.68</v>
      </c>
      <c r="W44" s="285"/>
    </row>
    <row r="45" spans="1:23" s="85" customFormat="1" ht="36" customHeight="1" x14ac:dyDescent="0.25">
      <c r="A45" s="269">
        <v>3</v>
      </c>
      <c r="B45" s="270"/>
      <c r="C45" s="271" t="s">
        <v>63</v>
      </c>
      <c r="D45" s="269" t="s">
        <v>66</v>
      </c>
      <c r="E45" s="275" t="s">
        <v>4</v>
      </c>
      <c r="F45" s="342" t="s">
        <v>504</v>
      </c>
      <c r="G45" s="343"/>
      <c r="H45" s="343"/>
      <c r="I45" s="343"/>
      <c r="J45" s="343"/>
      <c r="K45" s="343"/>
      <c r="L45" s="343"/>
      <c r="M45" s="343"/>
      <c r="N45" s="344"/>
      <c r="O45" s="287">
        <f>12648*0.66*0.75</f>
        <v>6260.76</v>
      </c>
      <c r="P45" s="287">
        <f>12648*0.66*0.75</f>
        <v>6260.76</v>
      </c>
      <c r="Q45" s="276"/>
      <c r="R45" s="287">
        <v>1090</v>
      </c>
      <c r="S45" s="286" t="s">
        <v>505</v>
      </c>
      <c r="T45" s="287">
        <v>1090</v>
      </c>
      <c r="U45" s="84"/>
      <c r="V45" s="287">
        <v>1090</v>
      </c>
      <c r="W45" s="285"/>
    </row>
    <row r="46" spans="1:23" s="273" customFormat="1" ht="45" customHeight="1" x14ac:dyDescent="0.25">
      <c r="A46" s="269">
        <v>26</v>
      </c>
      <c r="B46" s="270"/>
      <c r="C46" s="271" t="s">
        <v>63</v>
      </c>
      <c r="D46" s="269" t="s">
        <v>66</v>
      </c>
      <c r="E46" s="275" t="s">
        <v>4</v>
      </c>
      <c r="F46" s="342" t="s">
        <v>336</v>
      </c>
      <c r="G46" s="343"/>
      <c r="H46" s="343"/>
      <c r="I46" s="343"/>
      <c r="J46" s="343"/>
      <c r="K46" s="343"/>
      <c r="L46" s="343"/>
      <c r="M46" s="343"/>
      <c r="N46" s="344"/>
      <c r="O46" s="287">
        <f>O28*0.19</f>
        <v>456</v>
      </c>
      <c r="P46" s="287">
        <f>P28*0.19</f>
        <v>456</v>
      </c>
      <c r="Q46" s="276"/>
      <c r="R46" s="287">
        <f>R28*0.19</f>
        <v>456</v>
      </c>
      <c r="S46" s="294"/>
      <c r="T46" s="274">
        <v>0</v>
      </c>
      <c r="U46" s="294" t="s">
        <v>546</v>
      </c>
      <c r="V46" s="274">
        <v>0</v>
      </c>
      <c r="W46" s="280"/>
    </row>
    <row r="47" spans="1:23" s="85" customFormat="1" ht="36" customHeight="1" x14ac:dyDescent="0.25">
      <c r="A47" s="76">
        <v>27</v>
      </c>
      <c r="B47" s="77"/>
      <c r="C47" s="78" t="s">
        <v>63</v>
      </c>
      <c r="D47" s="76" t="s">
        <v>66</v>
      </c>
      <c r="E47" s="87" t="s">
        <v>4</v>
      </c>
      <c r="F47" s="363" t="s">
        <v>338</v>
      </c>
      <c r="G47" s="364"/>
      <c r="H47" s="364"/>
      <c r="I47" s="364"/>
      <c r="J47" s="364"/>
      <c r="K47" s="364"/>
      <c r="L47" s="364"/>
      <c r="M47" s="364"/>
      <c r="N47" s="365"/>
      <c r="O47" s="80">
        <f>2000*0.19</f>
        <v>380</v>
      </c>
      <c r="P47" s="80">
        <f>2000*0.19</f>
        <v>380</v>
      </c>
      <c r="Q47" s="82"/>
      <c r="R47" s="80">
        <f>2000*0.19</f>
        <v>380</v>
      </c>
      <c r="S47" s="84"/>
      <c r="T47" s="80">
        <f>2000*0.19</f>
        <v>380</v>
      </c>
      <c r="U47" s="84"/>
      <c r="V47" s="80">
        <f>2000*0.19</f>
        <v>380</v>
      </c>
      <c r="W47" s="285"/>
    </row>
    <row r="48" spans="1:23" s="85" customFormat="1" ht="36" customHeight="1" x14ac:dyDescent="0.25">
      <c r="A48" s="76">
        <v>30</v>
      </c>
      <c r="B48" s="77"/>
      <c r="C48" s="78" t="s">
        <v>66</v>
      </c>
      <c r="D48" s="76" t="s">
        <v>66</v>
      </c>
      <c r="E48" s="87" t="s">
        <v>4</v>
      </c>
      <c r="F48" s="375" t="s">
        <v>352</v>
      </c>
      <c r="G48" s="375"/>
      <c r="H48" s="375"/>
      <c r="I48" s="375"/>
      <c r="J48" s="375"/>
      <c r="K48" s="375"/>
      <c r="L48" s="375"/>
      <c r="M48" s="375"/>
      <c r="N48" s="375"/>
      <c r="O48" s="80">
        <f>1400*0.19</f>
        <v>266</v>
      </c>
      <c r="P48" s="80">
        <f>1400*0.19</f>
        <v>266</v>
      </c>
      <c r="Q48" s="82"/>
      <c r="R48" s="80">
        <f>1400*0.19</f>
        <v>266</v>
      </c>
      <c r="S48" s="84"/>
      <c r="T48" s="80">
        <f>1400*0.19</f>
        <v>266</v>
      </c>
      <c r="U48" s="84"/>
      <c r="V48" s="80">
        <f>1400*0.19</f>
        <v>266</v>
      </c>
      <c r="W48" s="285"/>
    </row>
    <row r="49" spans="1:23" s="85" customFormat="1" ht="36" customHeight="1" x14ac:dyDescent="0.25">
      <c r="A49" s="76"/>
      <c r="B49" s="77"/>
      <c r="C49" s="78"/>
      <c r="D49" s="76"/>
      <c r="E49" s="87" t="s">
        <v>4</v>
      </c>
      <c r="F49" s="363"/>
      <c r="G49" s="364"/>
      <c r="H49" s="364"/>
      <c r="I49" s="364"/>
      <c r="J49" s="364"/>
      <c r="K49" s="364"/>
      <c r="L49" s="364"/>
      <c r="M49" s="364"/>
      <c r="N49" s="365"/>
      <c r="O49" s="80"/>
      <c r="P49" s="81"/>
      <c r="Q49" s="82"/>
      <c r="R49" s="83"/>
      <c r="S49" s="84"/>
      <c r="T49" s="83"/>
      <c r="U49" s="84"/>
      <c r="V49" s="285"/>
      <c r="W49" s="285"/>
    </row>
    <row r="50" spans="1:23" s="85" customFormat="1" ht="36" customHeight="1" x14ac:dyDescent="0.25">
      <c r="A50" s="76"/>
      <c r="B50" s="77"/>
      <c r="C50" s="78"/>
      <c r="D50" s="76"/>
      <c r="E50" s="87" t="s">
        <v>4</v>
      </c>
      <c r="F50" s="363"/>
      <c r="G50" s="364"/>
      <c r="H50" s="364"/>
      <c r="I50" s="364"/>
      <c r="J50" s="364"/>
      <c r="K50" s="364"/>
      <c r="L50" s="364"/>
      <c r="M50" s="364"/>
      <c r="N50" s="365"/>
      <c r="O50" s="80"/>
      <c r="P50" s="81"/>
      <c r="Q50" s="82"/>
      <c r="R50" s="83"/>
      <c r="S50" s="84"/>
      <c r="T50" s="83"/>
      <c r="U50" s="84"/>
      <c r="V50" s="285"/>
      <c r="W50" s="285"/>
    </row>
    <row r="51" spans="1:23" s="1" customFormat="1" x14ac:dyDescent="0.25">
      <c r="L51" s="34" t="s">
        <v>130</v>
      </c>
      <c r="N51" s="33"/>
      <c r="O51" s="34">
        <f>SUM(O38:O50)</f>
        <v>30703.037499999999</v>
      </c>
      <c r="P51" s="34">
        <f>SUM(P38:P50)</f>
        <v>30703.037499999999</v>
      </c>
      <c r="Q51" s="26"/>
      <c r="R51" s="166">
        <f>SUM(R38:R50)</f>
        <v>21375.127500000002</v>
      </c>
      <c r="S51" s="26"/>
      <c r="T51" s="166">
        <f>SUM(T38:T50)</f>
        <v>20919.127500000002</v>
      </c>
      <c r="U51" s="26"/>
      <c r="V51" s="166">
        <f>SUM(V38:V50)</f>
        <v>20919.127500000002</v>
      </c>
    </row>
    <row r="52" spans="1:23" x14ac:dyDescent="0.25">
      <c r="T52" s="169"/>
    </row>
    <row r="53" spans="1:23" s="1" customFormat="1" ht="15.75" thickBot="1" x14ac:dyDescent="0.3">
      <c r="O53" s="34"/>
      <c r="P53" s="34"/>
      <c r="Q53" s="26"/>
      <c r="R53" s="35"/>
      <c r="S53" s="26"/>
      <c r="T53" s="166"/>
      <c r="U53" s="26"/>
    </row>
    <row r="54" spans="1:23" s="1" customFormat="1" ht="19.5" thickBot="1" x14ac:dyDescent="0.35">
      <c r="K54" s="366" t="s">
        <v>110</v>
      </c>
      <c r="L54" s="367"/>
      <c r="M54" s="367"/>
      <c r="N54" s="368"/>
      <c r="O54" s="34">
        <f>SUM(O34,O51)</f>
        <v>95157.177499999991</v>
      </c>
      <c r="P54" s="34">
        <f>SUM(P34,P51)</f>
        <v>95157.177499999991</v>
      </c>
      <c r="Q54" s="34"/>
      <c r="R54" s="34">
        <f>SUM(R34,R51)</f>
        <v>64704.267500000002</v>
      </c>
      <c r="S54" s="34"/>
      <c r="T54" s="166">
        <f>SUM(T34,T51)</f>
        <v>61848.267500000002</v>
      </c>
      <c r="U54" s="26"/>
      <c r="V54" s="166">
        <f>SUM(V34,V51)</f>
        <v>61847.867500000008</v>
      </c>
    </row>
    <row r="55" spans="1:23" ht="23.25" x14ac:dyDescent="0.35">
      <c r="A55" s="371" t="s">
        <v>136</v>
      </c>
      <c r="B55" s="371"/>
      <c r="C55" s="371"/>
      <c r="D55" s="371"/>
    </row>
    <row r="56" spans="1:23" s="118" customFormat="1" ht="34.5" customHeight="1" x14ac:dyDescent="0.25">
      <c r="A56" s="124" t="s">
        <v>204</v>
      </c>
      <c r="B56" s="125"/>
      <c r="C56" s="125"/>
      <c r="D56" s="125"/>
      <c r="E56" s="126"/>
      <c r="F56" s="126"/>
      <c r="G56" s="126"/>
      <c r="H56" s="126"/>
      <c r="I56" s="126"/>
      <c r="J56" s="126"/>
      <c r="K56" s="126"/>
      <c r="L56" s="126"/>
      <c r="M56" s="126"/>
      <c r="N56" s="127"/>
      <c r="O56" s="128" t="s">
        <v>123</v>
      </c>
      <c r="P56" s="128" t="s">
        <v>38</v>
      </c>
      <c r="Q56" s="129" t="s">
        <v>124</v>
      </c>
      <c r="R56" s="128" t="s">
        <v>39</v>
      </c>
      <c r="S56" s="129" t="s">
        <v>124</v>
      </c>
      <c r="T56" s="128" t="s">
        <v>40</v>
      </c>
      <c r="U56" s="129" t="s">
        <v>124</v>
      </c>
      <c r="V56" s="128" t="s">
        <v>552</v>
      </c>
      <c r="W56" s="129" t="s">
        <v>124</v>
      </c>
    </row>
    <row r="57" spans="1:23" x14ac:dyDescent="0.25">
      <c r="A57" s="61" t="s">
        <v>114</v>
      </c>
      <c r="B57" s="62"/>
      <c r="C57" s="27" t="s">
        <v>109</v>
      </c>
      <c r="D57" s="27" t="s">
        <v>108</v>
      </c>
      <c r="E57" s="65" t="s">
        <v>33</v>
      </c>
      <c r="F57" s="32" t="s">
        <v>34</v>
      </c>
      <c r="G57" s="50"/>
      <c r="H57" s="50"/>
      <c r="I57" s="50"/>
      <c r="J57" s="50"/>
      <c r="K57" s="50"/>
      <c r="L57" s="50"/>
      <c r="M57" s="50"/>
      <c r="N57" s="50"/>
      <c r="O57" s="23" t="s">
        <v>35</v>
      </c>
      <c r="P57" s="23" t="s">
        <v>35</v>
      </c>
      <c r="Q57" s="30"/>
      <c r="R57" s="23" t="s">
        <v>35</v>
      </c>
      <c r="S57" s="31"/>
      <c r="T57" s="7" t="s">
        <v>35</v>
      </c>
      <c r="U57" s="31"/>
      <c r="V57" s="6"/>
      <c r="W57" s="6"/>
    </row>
    <row r="58" spans="1:23" s="85" customFormat="1" ht="40.5" customHeight="1" x14ac:dyDescent="0.25">
      <c r="A58" s="76">
        <v>30</v>
      </c>
      <c r="B58" s="77"/>
      <c r="C58" s="78" t="s">
        <v>66</v>
      </c>
      <c r="D58" s="76" t="s">
        <v>66</v>
      </c>
      <c r="E58" s="79" t="s">
        <v>10</v>
      </c>
      <c r="F58" s="363" t="s">
        <v>410</v>
      </c>
      <c r="G58" s="364"/>
      <c r="H58" s="364"/>
      <c r="I58" s="364"/>
      <c r="J58" s="364"/>
      <c r="K58" s="364"/>
      <c r="L58" s="364"/>
      <c r="M58" s="364"/>
      <c r="N58" s="365"/>
      <c r="O58" s="81">
        <v>200</v>
      </c>
      <c r="P58" s="81">
        <v>200</v>
      </c>
      <c r="Q58" s="82"/>
      <c r="R58" s="81">
        <v>200</v>
      </c>
      <c r="S58" s="84"/>
      <c r="T58" s="81">
        <v>200</v>
      </c>
      <c r="U58" s="84"/>
      <c r="V58" s="81">
        <v>200</v>
      </c>
      <c r="W58" s="285"/>
    </row>
    <row r="59" spans="1:23" s="85" customFormat="1" ht="40.5" customHeight="1" x14ac:dyDescent="0.25">
      <c r="A59" s="76">
        <v>26</v>
      </c>
      <c r="B59" s="77"/>
      <c r="C59" s="78" t="s">
        <v>63</v>
      </c>
      <c r="D59" s="76" t="s">
        <v>66</v>
      </c>
      <c r="E59" s="79" t="s">
        <v>10</v>
      </c>
      <c r="F59" s="363" t="s">
        <v>411</v>
      </c>
      <c r="G59" s="364"/>
      <c r="H59" s="364"/>
      <c r="I59" s="364"/>
      <c r="J59" s="364"/>
      <c r="K59" s="364"/>
      <c r="L59" s="364"/>
      <c r="M59" s="364"/>
      <c r="N59" s="365"/>
      <c r="O59" s="81">
        <v>200</v>
      </c>
      <c r="P59" s="81">
        <v>200</v>
      </c>
      <c r="Q59" s="82"/>
      <c r="R59" s="81">
        <v>200</v>
      </c>
      <c r="S59" s="84"/>
      <c r="T59" s="81">
        <v>0</v>
      </c>
      <c r="U59" s="84"/>
      <c r="V59" s="81">
        <v>0</v>
      </c>
      <c r="W59" s="285"/>
    </row>
    <row r="60" spans="1:23" s="85" customFormat="1" ht="40.5" customHeight="1" x14ac:dyDescent="0.25">
      <c r="A60" s="269">
        <v>11</v>
      </c>
      <c r="B60" s="270"/>
      <c r="C60" s="271" t="s">
        <v>63</v>
      </c>
      <c r="D60" s="269" t="s">
        <v>66</v>
      </c>
      <c r="E60" s="272" t="s">
        <v>8</v>
      </c>
      <c r="F60" s="342" t="s">
        <v>436</v>
      </c>
      <c r="G60" s="343"/>
      <c r="H60" s="343"/>
      <c r="I60" s="343"/>
      <c r="J60" s="343"/>
      <c r="K60" s="343"/>
      <c r="L60" s="343"/>
      <c r="M60" s="343"/>
      <c r="N60" s="344"/>
      <c r="O60" s="273">
        <v>8600</v>
      </c>
      <c r="P60" s="274">
        <v>8600</v>
      </c>
      <c r="Q60" s="82"/>
      <c r="R60" s="274">
        <v>8600</v>
      </c>
      <c r="S60" s="84"/>
      <c r="T60" s="274">
        <v>8600</v>
      </c>
      <c r="U60" s="84"/>
      <c r="V60" s="301">
        <v>14553</v>
      </c>
      <c r="W60" s="300" t="s">
        <v>569</v>
      </c>
    </row>
    <row r="61" spans="1:23" s="273" customFormat="1" ht="40.5" customHeight="1" x14ac:dyDescent="0.25">
      <c r="A61" s="269">
        <v>26</v>
      </c>
      <c r="B61" s="270"/>
      <c r="C61" s="271" t="s">
        <v>65</v>
      </c>
      <c r="D61" s="269" t="s">
        <v>66</v>
      </c>
      <c r="E61" s="272" t="s">
        <v>8</v>
      </c>
      <c r="F61" s="342" t="s">
        <v>547</v>
      </c>
      <c r="G61" s="343"/>
      <c r="H61" s="343"/>
      <c r="I61" s="343"/>
      <c r="J61" s="343"/>
      <c r="K61" s="343"/>
      <c r="L61" s="343"/>
      <c r="M61" s="343"/>
      <c r="N61" s="344"/>
      <c r="O61" s="274"/>
      <c r="P61" s="274"/>
      <c r="Q61" s="276"/>
      <c r="R61" s="274"/>
      <c r="S61" s="294"/>
      <c r="T61" s="274">
        <f>1000+500+2000</f>
        <v>3500</v>
      </c>
      <c r="U61" s="294"/>
      <c r="V61" s="81">
        <v>3500</v>
      </c>
      <c r="W61" s="280"/>
    </row>
    <row r="62" spans="1:23" s="85" customFormat="1" ht="40.5" customHeight="1" x14ac:dyDescent="0.25">
      <c r="A62" s="76"/>
      <c r="B62" s="77"/>
      <c r="C62" s="78"/>
      <c r="D62" s="76"/>
      <c r="E62" s="79"/>
      <c r="F62" s="363"/>
      <c r="G62" s="364"/>
      <c r="H62" s="364"/>
      <c r="I62" s="364"/>
      <c r="J62" s="364"/>
      <c r="K62" s="364"/>
      <c r="L62" s="364"/>
      <c r="M62" s="364"/>
      <c r="N62" s="365"/>
      <c r="O62" s="81"/>
      <c r="P62" s="81"/>
      <c r="Q62" s="82"/>
      <c r="R62" s="81"/>
      <c r="S62" s="84"/>
      <c r="T62" s="83"/>
      <c r="U62" s="84"/>
      <c r="V62" s="81"/>
      <c r="W62" s="285"/>
    </row>
    <row r="63" spans="1:23" s="85" customFormat="1" ht="40.5" customHeight="1" x14ac:dyDescent="0.25">
      <c r="A63" s="76"/>
      <c r="B63" s="77"/>
      <c r="C63" s="78"/>
      <c r="D63" s="76"/>
      <c r="E63" s="79"/>
      <c r="F63" s="363"/>
      <c r="G63" s="364"/>
      <c r="H63" s="364"/>
      <c r="I63" s="364"/>
      <c r="J63" s="364"/>
      <c r="K63" s="364"/>
      <c r="L63" s="364"/>
      <c r="M63" s="364"/>
      <c r="N63" s="365"/>
      <c r="O63" s="81"/>
      <c r="P63" s="81"/>
      <c r="Q63" s="82"/>
      <c r="R63" s="81"/>
      <c r="S63" s="84"/>
      <c r="T63" s="83"/>
      <c r="U63" s="84"/>
      <c r="V63" s="81"/>
      <c r="W63" s="285"/>
    </row>
    <row r="64" spans="1:23" s="85" customFormat="1" ht="40.5" customHeight="1" x14ac:dyDescent="0.25">
      <c r="A64" s="76"/>
      <c r="B64" s="77"/>
      <c r="C64" s="78"/>
      <c r="D64" s="76"/>
      <c r="E64" s="79"/>
      <c r="F64" s="363"/>
      <c r="G64" s="364"/>
      <c r="H64" s="364"/>
      <c r="I64" s="364"/>
      <c r="J64" s="364"/>
      <c r="K64" s="364"/>
      <c r="L64" s="364"/>
      <c r="M64" s="364"/>
      <c r="N64" s="365"/>
      <c r="O64" s="81"/>
      <c r="P64" s="81"/>
      <c r="Q64" s="82"/>
      <c r="R64" s="81"/>
      <c r="S64" s="84"/>
      <c r="T64" s="83"/>
      <c r="U64" s="84"/>
      <c r="V64" s="81"/>
      <c r="W64" s="285"/>
    </row>
    <row r="65" spans="1:23" s="85" customFormat="1" ht="40.5" customHeight="1" x14ac:dyDescent="0.25">
      <c r="A65" s="88"/>
      <c r="B65" s="89"/>
      <c r="C65" s="90"/>
      <c r="D65" s="88"/>
      <c r="E65" s="91"/>
      <c r="F65" s="363"/>
      <c r="G65" s="364"/>
      <c r="H65" s="364"/>
      <c r="I65" s="364"/>
      <c r="J65" s="364"/>
      <c r="K65" s="364"/>
      <c r="L65" s="364"/>
      <c r="M65" s="364"/>
      <c r="N65" s="365"/>
      <c r="O65" s="92"/>
      <c r="P65" s="92"/>
      <c r="Q65" s="93"/>
      <c r="R65" s="92"/>
      <c r="S65" s="94"/>
      <c r="T65" s="95"/>
      <c r="U65" s="94"/>
      <c r="V65" s="81"/>
      <c r="W65" s="285"/>
    </row>
    <row r="66" spans="1:23" s="38" customFormat="1" x14ac:dyDescent="0.25">
      <c r="M66" s="38" t="s">
        <v>133</v>
      </c>
      <c r="N66" s="33"/>
      <c r="O66" s="39">
        <f>SUM(O58:O65)</f>
        <v>9000</v>
      </c>
      <c r="P66" s="33">
        <f>SUM(P58:P65)</f>
        <v>9000</v>
      </c>
      <c r="Q66" s="36"/>
      <c r="R66" s="33">
        <f>SUM(R58:R65)</f>
        <v>9000</v>
      </c>
      <c r="S66" s="36"/>
      <c r="T66" s="172">
        <f>SUM(T58:T65)</f>
        <v>12300</v>
      </c>
      <c r="U66" s="36"/>
      <c r="V66" s="172">
        <f>SUM(V58:V65)</f>
        <v>18253</v>
      </c>
    </row>
    <row r="67" spans="1:23" s="1" customFormat="1" x14ac:dyDescent="0.25">
      <c r="N67" s="37"/>
      <c r="O67" s="37"/>
      <c r="P67" s="37"/>
      <c r="Q67" s="26"/>
      <c r="R67" s="37"/>
      <c r="S67" s="26"/>
      <c r="T67" s="73"/>
      <c r="U67" s="26"/>
    </row>
    <row r="68" spans="1:23" s="136" customFormat="1" ht="34.5" customHeight="1" x14ac:dyDescent="0.25">
      <c r="A68" s="130" t="s">
        <v>131</v>
      </c>
      <c r="B68" s="131"/>
      <c r="C68" s="131"/>
      <c r="D68" s="131"/>
      <c r="E68" s="132"/>
      <c r="F68" s="132"/>
      <c r="G68" s="132"/>
      <c r="H68" s="132"/>
      <c r="I68" s="132"/>
      <c r="J68" s="132"/>
      <c r="K68" s="132"/>
      <c r="L68" s="132"/>
      <c r="M68" s="132"/>
      <c r="N68" s="133"/>
      <c r="O68" s="134" t="s">
        <v>123</v>
      </c>
      <c r="P68" s="134" t="s">
        <v>38</v>
      </c>
      <c r="Q68" s="135" t="s">
        <v>124</v>
      </c>
      <c r="R68" s="134" t="s">
        <v>39</v>
      </c>
      <c r="S68" s="135" t="s">
        <v>124</v>
      </c>
      <c r="T68" s="134" t="s">
        <v>40</v>
      </c>
      <c r="U68" s="135" t="s">
        <v>124</v>
      </c>
      <c r="V68" s="134" t="s">
        <v>552</v>
      </c>
      <c r="W68" s="135" t="s">
        <v>124</v>
      </c>
    </row>
    <row r="69" spans="1:23" x14ac:dyDescent="0.25">
      <c r="A69" s="61" t="s">
        <v>114</v>
      </c>
      <c r="B69" s="62"/>
      <c r="C69" s="27" t="s">
        <v>109</v>
      </c>
      <c r="D69" s="27" t="s">
        <v>108</v>
      </c>
      <c r="E69" s="65" t="s">
        <v>33</v>
      </c>
      <c r="F69" s="32" t="s">
        <v>34</v>
      </c>
      <c r="G69" s="50"/>
      <c r="H69" s="50"/>
      <c r="I69" s="50"/>
      <c r="J69" s="50"/>
      <c r="K69" s="50"/>
      <c r="L69" s="50"/>
      <c r="M69" s="50"/>
      <c r="N69" s="50"/>
      <c r="O69" s="23" t="s">
        <v>35</v>
      </c>
      <c r="P69" s="23" t="s">
        <v>35</v>
      </c>
      <c r="Q69" s="30"/>
      <c r="R69" s="23" t="s">
        <v>35</v>
      </c>
      <c r="S69" s="31"/>
      <c r="T69" s="7" t="s">
        <v>35</v>
      </c>
      <c r="U69" s="31"/>
      <c r="V69" s="6"/>
      <c r="W69" s="6"/>
    </row>
    <row r="70" spans="1:23" s="85" customFormat="1" ht="37.5" customHeight="1" x14ac:dyDescent="0.25">
      <c r="A70" s="76">
        <v>10</v>
      </c>
      <c r="B70" s="77"/>
      <c r="C70" s="78" t="s">
        <v>63</v>
      </c>
      <c r="D70" s="76" t="s">
        <v>66</v>
      </c>
      <c r="E70" s="79" t="s">
        <v>11</v>
      </c>
      <c r="F70" s="363" t="s">
        <v>285</v>
      </c>
      <c r="G70" s="364"/>
      <c r="H70" s="364"/>
      <c r="I70" s="364"/>
      <c r="J70" s="364"/>
      <c r="K70" s="364"/>
      <c r="L70" s="364"/>
      <c r="M70" s="364"/>
      <c r="N70" s="365"/>
      <c r="O70" s="81">
        <f>6*1000</f>
        <v>6000</v>
      </c>
      <c r="P70" s="81">
        <f>6*1000</f>
        <v>6000</v>
      </c>
      <c r="Q70" s="82"/>
      <c r="R70" s="81">
        <f>6*1000</f>
        <v>6000</v>
      </c>
      <c r="S70" s="84"/>
      <c r="T70" s="81">
        <f>6*1000</f>
        <v>6000</v>
      </c>
      <c r="U70" s="84"/>
      <c r="V70" s="299">
        <v>3946</v>
      </c>
      <c r="W70" s="299" t="s">
        <v>568</v>
      </c>
    </row>
    <row r="71" spans="1:23" s="85" customFormat="1" ht="37.5" customHeight="1" x14ac:dyDescent="0.25">
      <c r="A71" s="76">
        <v>15</v>
      </c>
      <c r="B71" s="77"/>
      <c r="C71" s="78" t="s">
        <v>63</v>
      </c>
      <c r="D71" s="76" t="s">
        <v>66</v>
      </c>
      <c r="E71" s="79" t="s">
        <v>11</v>
      </c>
      <c r="F71" s="363" t="s">
        <v>303</v>
      </c>
      <c r="G71" s="364"/>
      <c r="H71" s="364"/>
      <c r="I71" s="364"/>
      <c r="J71" s="364"/>
      <c r="K71" s="364"/>
      <c r="L71" s="364"/>
      <c r="M71" s="364"/>
      <c r="N71" s="365"/>
      <c r="O71" s="81">
        <v>2500</v>
      </c>
      <c r="P71" s="81">
        <v>2500</v>
      </c>
      <c r="Q71" s="82"/>
      <c r="R71" s="81">
        <v>2500</v>
      </c>
      <c r="S71" s="84"/>
      <c r="T71" s="81">
        <v>2500</v>
      </c>
      <c r="U71" s="84"/>
      <c r="V71" s="81">
        <v>2500</v>
      </c>
      <c r="W71" s="285"/>
    </row>
    <row r="72" spans="1:23" s="85" customFormat="1" ht="37.5" customHeight="1" x14ac:dyDescent="0.25">
      <c r="A72" s="269">
        <v>16</v>
      </c>
      <c r="B72" s="270"/>
      <c r="C72" s="271" t="s">
        <v>63</v>
      </c>
      <c r="D72" s="269" t="s">
        <v>66</v>
      </c>
      <c r="E72" s="272" t="s">
        <v>11</v>
      </c>
      <c r="F72" s="342" t="s">
        <v>509</v>
      </c>
      <c r="G72" s="343"/>
      <c r="H72" s="343"/>
      <c r="I72" s="343"/>
      <c r="J72" s="343"/>
      <c r="K72" s="343"/>
      <c r="L72" s="343"/>
      <c r="M72" s="343"/>
      <c r="N72" s="344"/>
      <c r="O72" s="274">
        <f>(2*250)+(7*350)+(2*150)+(3*2500)</f>
        <v>10750</v>
      </c>
      <c r="P72" s="274">
        <f>(2*250)+(7*350)+(2*150)+(3*2500)</f>
        <v>10750</v>
      </c>
      <c r="Q72" s="276"/>
      <c r="R72" s="274">
        <v>11750</v>
      </c>
      <c r="S72" s="286" t="s">
        <v>540</v>
      </c>
      <c r="T72" s="274">
        <v>11750</v>
      </c>
      <c r="U72" s="84"/>
      <c r="V72" s="274">
        <v>11750</v>
      </c>
      <c r="W72" s="285"/>
    </row>
    <row r="73" spans="1:23" s="85" customFormat="1" ht="45" customHeight="1" x14ac:dyDescent="0.25">
      <c r="A73" s="269">
        <v>17</v>
      </c>
      <c r="B73" s="270"/>
      <c r="C73" s="271" t="s">
        <v>63</v>
      </c>
      <c r="D73" s="269" t="s">
        <v>66</v>
      </c>
      <c r="E73" s="272" t="s">
        <v>11</v>
      </c>
      <c r="F73" s="342" t="s">
        <v>305</v>
      </c>
      <c r="G73" s="343"/>
      <c r="H73" s="343"/>
      <c r="I73" s="343"/>
      <c r="J73" s="343"/>
      <c r="K73" s="343"/>
      <c r="L73" s="343"/>
      <c r="M73" s="343"/>
      <c r="N73" s="344"/>
      <c r="O73" s="274">
        <f>3250+2122+1248+2264+725+890+1290+500</f>
        <v>12289</v>
      </c>
      <c r="P73" s="274">
        <f>3250+2122+1248+2264+725+890+1290+500</f>
        <v>12289</v>
      </c>
      <c r="Q73" s="276"/>
      <c r="R73" s="274">
        <f>3250+2122+1248+2264+725+890+1290+500</f>
        <v>12289</v>
      </c>
      <c r="S73" s="286"/>
      <c r="T73" s="274">
        <f>3250+2122+1248+2264+725+890+1290+500</f>
        <v>12289</v>
      </c>
      <c r="U73" s="84"/>
      <c r="V73" s="274">
        <f>3250+2122+1248+2264+725+890+1290+500</f>
        <v>12289</v>
      </c>
      <c r="W73" s="285"/>
    </row>
    <row r="74" spans="1:23" s="273" customFormat="1" ht="37.5" customHeight="1" x14ac:dyDescent="0.25">
      <c r="A74" s="269">
        <v>26</v>
      </c>
      <c r="B74" s="270"/>
      <c r="C74" s="271" t="s">
        <v>65</v>
      </c>
      <c r="D74" s="269" t="s">
        <v>66</v>
      </c>
      <c r="E74" s="272" t="s">
        <v>13</v>
      </c>
      <c r="F74" s="342" t="s">
        <v>548</v>
      </c>
      <c r="G74" s="343"/>
      <c r="H74" s="343"/>
      <c r="I74" s="343"/>
      <c r="J74" s="343"/>
      <c r="K74" s="343"/>
      <c r="L74" s="343"/>
      <c r="M74" s="343"/>
      <c r="N74" s="344"/>
      <c r="O74" s="274">
        <f>(2*99.75)+100</f>
        <v>299.5</v>
      </c>
      <c r="P74" s="274">
        <f>(2*99.75)+100</f>
        <v>299.5</v>
      </c>
      <c r="Q74" s="276"/>
      <c r="R74" s="274">
        <f>(2*99.75)+100</f>
        <v>299.5</v>
      </c>
      <c r="S74" s="294"/>
      <c r="T74" s="274">
        <f>838+20.3</f>
        <v>858.3</v>
      </c>
      <c r="U74" s="294"/>
      <c r="V74" s="274">
        <f>838+20.3</f>
        <v>858.3</v>
      </c>
      <c r="W74" s="280"/>
    </row>
    <row r="75" spans="1:23" s="85" customFormat="1" ht="37.5" customHeight="1" x14ac:dyDescent="0.25">
      <c r="A75" s="269">
        <v>27</v>
      </c>
      <c r="B75" s="270"/>
      <c r="C75" s="271" t="s">
        <v>63</v>
      </c>
      <c r="D75" s="269" t="s">
        <v>66</v>
      </c>
      <c r="E75" s="272" t="s">
        <v>13</v>
      </c>
      <c r="F75" s="342" t="s">
        <v>409</v>
      </c>
      <c r="G75" s="343"/>
      <c r="H75" s="343"/>
      <c r="I75" s="343"/>
      <c r="J75" s="343"/>
      <c r="K75" s="343"/>
      <c r="L75" s="343"/>
      <c r="M75" s="343"/>
      <c r="N75" s="344"/>
      <c r="O75" s="274">
        <f>(2*99.75)+100</f>
        <v>299.5</v>
      </c>
      <c r="P75" s="274">
        <f>(2*99.75)+100</f>
        <v>299.5</v>
      </c>
      <c r="Q75" s="276"/>
      <c r="R75" s="274">
        <f>(2*99.75)+100</f>
        <v>299.5</v>
      </c>
      <c r="S75" s="286"/>
      <c r="T75" s="274">
        <f>(2*99.75)+100</f>
        <v>299.5</v>
      </c>
      <c r="U75" s="84"/>
      <c r="V75" s="274">
        <f>(2*99.75)+100</f>
        <v>299.5</v>
      </c>
      <c r="W75" s="285"/>
    </row>
    <row r="76" spans="1:23" s="85" customFormat="1" ht="37.5" customHeight="1" x14ac:dyDescent="0.25">
      <c r="A76" s="269">
        <v>11</v>
      </c>
      <c r="B76" s="270"/>
      <c r="C76" s="271" t="s">
        <v>64</v>
      </c>
      <c r="D76" s="269" t="s">
        <v>66</v>
      </c>
      <c r="E76" s="272" t="s">
        <v>11</v>
      </c>
      <c r="F76" s="342" t="s">
        <v>506</v>
      </c>
      <c r="G76" s="343"/>
      <c r="H76" s="343"/>
      <c r="I76" s="343"/>
      <c r="J76" s="343"/>
      <c r="K76" s="343"/>
      <c r="L76" s="343"/>
      <c r="M76" s="343"/>
      <c r="N76" s="344"/>
      <c r="O76" s="274"/>
      <c r="P76" s="274"/>
      <c r="Q76" s="276"/>
      <c r="R76" s="274">
        <f>716+(2*1899)+(2*2899)+308</f>
        <v>10620</v>
      </c>
      <c r="S76" s="286" t="s">
        <v>542</v>
      </c>
      <c r="T76" s="274">
        <f>716+(2*1899)+(2*2899)+308</f>
        <v>10620</v>
      </c>
      <c r="U76" s="84"/>
      <c r="V76" s="274">
        <f>716+(2*1899)+(2*2899)+308</f>
        <v>10620</v>
      </c>
      <c r="W76" s="285"/>
    </row>
    <row r="77" spans="1:23" s="85" customFormat="1" ht="37.5" customHeight="1" x14ac:dyDescent="0.25">
      <c r="A77" s="76">
        <v>30</v>
      </c>
      <c r="B77" s="77"/>
      <c r="C77" s="78" t="s">
        <v>66</v>
      </c>
      <c r="D77" s="76" t="s">
        <v>66</v>
      </c>
      <c r="E77" s="79" t="s">
        <v>13</v>
      </c>
      <c r="F77" s="363" t="s">
        <v>351</v>
      </c>
      <c r="G77" s="364"/>
      <c r="H77" s="364"/>
      <c r="I77" s="364"/>
      <c r="J77" s="364"/>
      <c r="K77" s="364"/>
      <c r="L77" s="364"/>
      <c r="M77" s="364"/>
      <c r="N77" s="365"/>
      <c r="O77" s="81">
        <f>1150+(2*55)+200</f>
        <v>1460</v>
      </c>
      <c r="P77" s="81">
        <f>1150+(2*55)+200</f>
        <v>1460</v>
      </c>
      <c r="Q77" s="82"/>
      <c r="R77" s="81">
        <f>1150+(2*55)+200</f>
        <v>1460</v>
      </c>
      <c r="S77" s="84"/>
      <c r="T77" s="81">
        <f>1150+(2*55)+200</f>
        <v>1460</v>
      </c>
      <c r="U77" s="84"/>
      <c r="V77" s="81">
        <f>1150+(2*55)+200</f>
        <v>1460</v>
      </c>
      <c r="W77" s="285"/>
    </row>
    <row r="78" spans="1:23" s="85" customFormat="1" ht="45" customHeight="1" x14ac:dyDescent="0.25">
      <c r="A78" s="76">
        <v>35</v>
      </c>
      <c r="B78" s="77"/>
      <c r="C78" s="78" t="s">
        <v>63</v>
      </c>
      <c r="D78" s="76" t="s">
        <v>66</v>
      </c>
      <c r="E78" s="79" t="s">
        <v>11</v>
      </c>
      <c r="F78" s="363" t="s">
        <v>446</v>
      </c>
      <c r="G78" s="364"/>
      <c r="H78" s="364"/>
      <c r="I78" s="364"/>
      <c r="J78" s="364"/>
      <c r="K78" s="364"/>
      <c r="L78" s="364"/>
      <c r="M78" s="364"/>
      <c r="N78" s="365"/>
      <c r="O78" s="81">
        <f>717+582+(6*602.82)+(6*631.52)+149+61.56+84.73+35.1+(3*3758)</f>
        <v>20309.43</v>
      </c>
      <c r="P78" s="81">
        <f>717+582+(6*602.82)+(6*631.52)+149+61.56+84.73+35.1+(3*3758)</f>
        <v>20309.43</v>
      </c>
      <c r="Q78" s="82"/>
      <c r="R78" s="81">
        <f>717+582+(6*602.82)+(6*631.52)+149+61.56+84.73+35.1+(3*3758)</f>
        <v>20309.43</v>
      </c>
      <c r="S78" s="84"/>
      <c r="T78" s="81">
        <f>717+582+(6*602.82)+(6*631.52)+149+61.56+84.73+35.1+(3*3758)</f>
        <v>20309.43</v>
      </c>
      <c r="U78" s="84"/>
      <c r="V78" s="81">
        <f>717+582+(6*602.82)+(6*631.52)+149+61.56+84.73+35.1+(3*3758)</f>
        <v>20309.43</v>
      </c>
      <c r="W78" s="285"/>
    </row>
    <row r="79" spans="1:23" s="85" customFormat="1" ht="37.5" customHeight="1" x14ac:dyDescent="0.25">
      <c r="A79" s="269">
        <v>39</v>
      </c>
      <c r="B79" s="270"/>
      <c r="C79" s="271" t="s">
        <v>64</v>
      </c>
      <c r="D79" s="269" t="s">
        <v>66</v>
      </c>
      <c r="E79" s="272" t="s">
        <v>11</v>
      </c>
      <c r="F79" s="342" t="s">
        <v>483</v>
      </c>
      <c r="G79" s="343"/>
      <c r="H79" s="343"/>
      <c r="I79" s="343"/>
      <c r="J79" s="343"/>
      <c r="K79" s="343"/>
      <c r="L79" s="343"/>
      <c r="M79" s="343"/>
      <c r="N79" s="344"/>
      <c r="O79" s="274"/>
      <c r="P79" s="274"/>
      <c r="Q79" s="276"/>
      <c r="R79" s="274">
        <f>15*219</f>
        <v>3285</v>
      </c>
      <c r="S79" s="286" t="s">
        <v>542</v>
      </c>
      <c r="T79" s="274">
        <f>15*219</f>
        <v>3285</v>
      </c>
      <c r="U79" s="84"/>
      <c r="V79" s="274">
        <f>15*290</f>
        <v>4350</v>
      </c>
      <c r="W79" s="285"/>
    </row>
    <row r="80" spans="1:23" s="85" customFormat="1" ht="37.5" customHeight="1" x14ac:dyDescent="0.25">
      <c r="A80" s="269">
        <v>41</v>
      </c>
      <c r="B80" s="270"/>
      <c r="C80" s="271" t="s">
        <v>64</v>
      </c>
      <c r="D80" s="269" t="s">
        <v>66</v>
      </c>
      <c r="E80" s="272" t="s">
        <v>11</v>
      </c>
      <c r="F80" s="342" t="s">
        <v>496</v>
      </c>
      <c r="G80" s="343"/>
      <c r="H80" s="343"/>
      <c r="I80" s="343"/>
      <c r="J80" s="343"/>
      <c r="K80" s="343"/>
      <c r="L80" s="343"/>
      <c r="M80" s="343"/>
      <c r="N80" s="344"/>
      <c r="O80" s="274"/>
      <c r="P80" s="274"/>
      <c r="Q80" s="276"/>
      <c r="R80" s="274">
        <v>599</v>
      </c>
      <c r="S80" s="286" t="s">
        <v>542</v>
      </c>
      <c r="T80" s="274">
        <v>599</v>
      </c>
      <c r="U80" s="84"/>
      <c r="V80" s="274">
        <v>599</v>
      </c>
      <c r="W80" s="285"/>
    </row>
    <row r="81" spans="1:23" s="85" customFormat="1" ht="37.5" customHeight="1" x14ac:dyDescent="0.25">
      <c r="A81" s="269">
        <v>13</v>
      </c>
      <c r="B81" s="270"/>
      <c r="C81" s="271" t="s">
        <v>63</v>
      </c>
      <c r="D81" s="269" t="s">
        <v>66</v>
      </c>
      <c r="E81" s="272" t="s">
        <v>11</v>
      </c>
      <c r="F81" s="342" t="s">
        <v>290</v>
      </c>
      <c r="G81" s="343"/>
      <c r="H81" s="343"/>
      <c r="I81" s="343"/>
      <c r="J81" s="343"/>
      <c r="K81" s="343"/>
      <c r="L81" s="343"/>
      <c r="M81" s="343"/>
      <c r="N81" s="344"/>
      <c r="O81" s="274"/>
      <c r="P81" s="274"/>
      <c r="Q81" s="276"/>
      <c r="R81" s="274">
        <v>4247.87</v>
      </c>
      <c r="S81" s="286" t="s">
        <v>541</v>
      </c>
      <c r="T81" s="274">
        <v>4247.87</v>
      </c>
      <c r="U81" s="84"/>
      <c r="V81" s="274">
        <v>4247.87</v>
      </c>
      <c r="W81" s="285"/>
    </row>
    <row r="82" spans="1:23" s="85" customFormat="1" ht="37.5" customHeight="1" x14ac:dyDescent="0.25">
      <c r="A82" s="269">
        <v>43</v>
      </c>
      <c r="B82" s="270"/>
      <c r="C82" s="271" t="s">
        <v>64</v>
      </c>
      <c r="D82" s="269" t="s">
        <v>66</v>
      </c>
      <c r="E82" s="272" t="s">
        <v>11</v>
      </c>
      <c r="F82" s="342" t="s">
        <v>515</v>
      </c>
      <c r="G82" s="343"/>
      <c r="H82" s="343"/>
      <c r="I82" s="343"/>
      <c r="J82" s="343"/>
      <c r="K82" s="343"/>
      <c r="L82" s="343"/>
      <c r="M82" s="343"/>
      <c r="N82" s="344"/>
      <c r="O82" s="274"/>
      <c r="P82" s="274"/>
      <c r="Q82" s="276"/>
      <c r="R82" s="274">
        <f>3300+300</f>
        <v>3600</v>
      </c>
      <c r="S82" s="286" t="s">
        <v>542</v>
      </c>
      <c r="T82" s="274">
        <f>3300+300</f>
        <v>3600</v>
      </c>
      <c r="U82" s="84"/>
      <c r="V82" s="274">
        <f>3300+300</f>
        <v>3600</v>
      </c>
      <c r="W82" s="285"/>
    </row>
    <row r="83" spans="1:23" s="85" customFormat="1" ht="37.5" customHeight="1" x14ac:dyDescent="0.25">
      <c r="A83" s="271">
        <v>44</v>
      </c>
      <c r="B83" s="271"/>
      <c r="C83" s="271" t="s">
        <v>64</v>
      </c>
      <c r="D83" s="271" t="s">
        <v>66</v>
      </c>
      <c r="E83" s="288" t="s">
        <v>11</v>
      </c>
      <c r="F83" s="370" t="s">
        <v>526</v>
      </c>
      <c r="G83" s="370"/>
      <c r="H83" s="370"/>
      <c r="I83" s="370"/>
      <c r="J83" s="370"/>
      <c r="K83" s="370"/>
      <c r="L83" s="370"/>
      <c r="M83" s="370"/>
      <c r="N83" s="370"/>
      <c r="O83" s="274"/>
      <c r="P83" s="274"/>
      <c r="Q83" s="276"/>
      <c r="R83" s="274">
        <f>(2*3800)+466+47</f>
        <v>8113</v>
      </c>
      <c r="S83" s="286" t="s">
        <v>542</v>
      </c>
      <c r="T83" s="274">
        <f>(2*3800)+466+47</f>
        <v>8113</v>
      </c>
      <c r="U83" s="278"/>
      <c r="V83" s="274">
        <f>(2*3800)+466+47</f>
        <v>8113</v>
      </c>
      <c r="W83" s="285"/>
    </row>
    <row r="84" spans="1:23" s="85" customFormat="1" ht="37.5" customHeight="1" x14ac:dyDescent="0.25">
      <c r="A84" s="271">
        <v>45</v>
      </c>
      <c r="B84" s="271"/>
      <c r="C84" s="271" t="s">
        <v>64</v>
      </c>
      <c r="D84" s="271" t="s">
        <v>66</v>
      </c>
      <c r="E84" s="288" t="s">
        <v>11</v>
      </c>
      <c r="F84" s="370" t="s">
        <v>531</v>
      </c>
      <c r="G84" s="370"/>
      <c r="H84" s="370"/>
      <c r="I84" s="370"/>
      <c r="J84" s="370"/>
      <c r="K84" s="370"/>
      <c r="L84" s="370"/>
      <c r="M84" s="370"/>
      <c r="N84" s="370"/>
      <c r="O84" s="274"/>
      <c r="P84" s="274"/>
      <c r="Q84" s="276"/>
      <c r="R84" s="274">
        <f>1999+76+200</f>
        <v>2275</v>
      </c>
      <c r="S84" s="286" t="s">
        <v>542</v>
      </c>
      <c r="T84" s="274">
        <f>1999+76+200</f>
        <v>2275</v>
      </c>
      <c r="U84" s="278"/>
      <c r="V84" s="274">
        <f>1999+76+200</f>
        <v>2275</v>
      </c>
      <c r="W84" s="285"/>
    </row>
    <row r="85" spans="1:23" s="1" customFormat="1" x14ac:dyDescent="0.25">
      <c r="L85" s="62" t="s">
        <v>134</v>
      </c>
      <c r="M85" s="279"/>
      <c r="N85" s="279"/>
      <c r="O85" s="34">
        <f>SUM(O70:O82)</f>
        <v>53907.43</v>
      </c>
      <c r="P85" s="34">
        <f t="shared" ref="P85" si="0">SUM(P70:P82)</f>
        <v>53907.43</v>
      </c>
      <c r="Q85" s="34"/>
      <c r="R85" s="34">
        <f>SUM(R70:R84)</f>
        <v>87647.299999999988</v>
      </c>
      <c r="S85" s="34"/>
      <c r="T85" s="166">
        <f>SUM(T70:T84)</f>
        <v>88206.1</v>
      </c>
      <c r="U85" s="34"/>
      <c r="V85" s="166">
        <f>SUM(V70:V84)</f>
        <v>87217.1</v>
      </c>
    </row>
    <row r="87" spans="1:23" s="118" customFormat="1" ht="37.5" customHeight="1" x14ac:dyDescent="0.25">
      <c r="A87" s="137" t="s">
        <v>37</v>
      </c>
      <c r="B87" s="138"/>
      <c r="C87" s="138"/>
      <c r="D87" s="138"/>
      <c r="E87" s="138"/>
      <c r="F87" s="138"/>
      <c r="G87" s="138"/>
      <c r="H87" s="138"/>
      <c r="I87" s="138"/>
      <c r="J87" s="138"/>
      <c r="K87" s="138"/>
      <c r="L87" s="138"/>
      <c r="M87" s="138"/>
      <c r="N87" s="139"/>
      <c r="O87" s="140" t="s">
        <v>123</v>
      </c>
      <c r="P87" s="140" t="s">
        <v>38</v>
      </c>
      <c r="Q87" s="141" t="s">
        <v>124</v>
      </c>
      <c r="R87" s="140" t="s">
        <v>39</v>
      </c>
      <c r="S87" s="141" t="s">
        <v>124</v>
      </c>
      <c r="T87" s="140" t="s">
        <v>40</v>
      </c>
      <c r="U87" s="141" t="s">
        <v>124</v>
      </c>
      <c r="V87" s="140" t="s">
        <v>552</v>
      </c>
      <c r="W87" s="141" t="s">
        <v>124</v>
      </c>
    </row>
    <row r="88" spans="1:23" x14ac:dyDescent="0.25">
      <c r="A88" s="61" t="s">
        <v>114</v>
      </c>
      <c r="B88" s="62"/>
      <c r="C88" s="27" t="s">
        <v>109</v>
      </c>
      <c r="D88" s="27" t="s">
        <v>108</v>
      </c>
      <c r="E88" s="65" t="s">
        <v>33</v>
      </c>
      <c r="F88" s="50" t="s">
        <v>34</v>
      </c>
      <c r="G88" s="50"/>
      <c r="H88" s="50"/>
      <c r="I88" s="50"/>
      <c r="J88" s="50"/>
      <c r="K88" s="50"/>
      <c r="L88" s="50"/>
      <c r="M88" s="50"/>
      <c r="N88" s="50"/>
      <c r="O88" s="23" t="s">
        <v>35</v>
      </c>
      <c r="P88" s="32" t="s">
        <v>35</v>
      </c>
      <c r="Q88" s="30"/>
      <c r="R88" s="32" t="s">
        <v>35</v>
      </c>
      <c r="S88" s="31"/>
      <c r="T88" s="74" t="s">
        <v>35</v>
      </c>
      <c r="U88" s="31"/>
      <c r="V88" s="6"/>
      <c r="W88" s="6"/>
    </row>
    <row r="89" spans="1:23" s="85" customFormat="1" ht="36" customHeight="1" x14ac:dyDescent="0.25">
      <c r="A89" s="76">
        <v>26</v>
      </c>
      <c r="B89" s="77"/>
      <c r="C89" s="78" t="s">
        <v>63</v>
      </c>
      <c r="D89" s="78" t="s">
        <v>66</v>
      </c>
      <c r="E89" s="79" t="s">
        <v>12</v>
      </c>
      <c r="F89" s="363" t="s">
        <v>334</v>
      </c>
      <c r="G89" s="364"/>
      <c r="H89" s="364"/>
      <c r="I89" s="364"/>
      <c r="J89" s="364"/>
      <c r="K89" s="364"/>
      <c r="L89" s="364"/>
      <c r="M89" s="364"/>
      <c r="N89" s="365"/>
      <c r="O89" s="81">
        <v>100</v>
      </c>
      <c r="P89" s="80">
        <v>100</v>
      </c>
      <c r="Q89" s="82"/>
      <c r="R89" s="80">
        <v>100</v>
      </c>
      <c r="S89" s="84"/>
      <c r="T89" s="80">
        <v>0</v>
      </c>
      <c r="U89" s="84"/>
      <c r="V89" s="285">
        <v>0</v>
      </c>
      <c r="W89" s="285"/>
    </row>
    <row r="90" spans="1:23" s="85" customFormat="1" ht="36" customHeight="1" x14ac:dyDescent="0.25">
      <c r="A90" s="76"/>
      <c r="B90" s="77"/>
      <c r="C90" s="78"/>
      <c r="D90" s="78"/>
      <c r="E90" s="79"/>
      <c r="F90" s="363"/>
      <c r="G90" s="364"/>
      <c r="H90" s="364"/>
      <c r="I90" s="364"/>
      <c r="J90" s="364"/>
      <c r="K90" s="364"/>
      <c r="L90" s="364"/>
      <c r="M90" s="364"/>
      <c r="N90" s="365"/>
      <c r="O90" s="81"/>
      <c r="P90" s="80"/>
      <c r="Q90" s="82"/>
      <c r="R90" s="80"/>
      <c r="S90" s="84"/>
      <c r="T90" s="96"/>
      <c r="U90" s="84"/>
      <c r="V90" s="285"/>
      <c r="W90" s="285"/>
    </row>
    <row r="91" spans="1:23" s="85" customFormat="1" ht="36" customHeight="1" x14ac:dyDescent="0.25">
      <c r="A91" s="76"/>
      <c r="B91" s="77"/>
      <c r="C91" s="78"/>
      <c r="D91" s="78"/>
      <c r="E91" s="79"/>
      <c r="F91" s="363"/>
      <c r="G91" s="364"/>
      <c r="H91" s="364"/>
      <c r="I91" s="364"/>
      <c r="J91" s="364"/>
      <c r="K91" s="364"/>
      <c r="L91" s="364"/>
      <c r="M91" s="364"/>
      <c r="N91" s="365"/>
      <c r="O91" s="81"/>
      <c r="P91" s="80"/>
      <c r="Q91" s="82"/>
      <c r="R91" s="80"/>
      <c r="S91" s="84"/>
      <c r="T91" s="96"/>
      <c r="U91" s="84"/>
      <c r="V91" s="285"/>
      <c r="W91" s="285"/>
    </row>
    <row r="92" spans="1:23" s="85" customFormat="1" ht="36" customHeight="1" x14ac:dyDescent="0.25">
      <c r="A92" s="76"/>
      <c r="B92" s="77"/>
      <c r="C92" s="78"/>
      <c r="D92" s="78"/>
      <c r="E92" s="79"/>
      <c r="F92" s="363"/>
      <c r="G92" s="364"/>
      <c r="H92" s="364"/>
      <c r="I92" s="364"/>
      <c r="J92" s="364"/>
      <c r="K92" s="364"/>
      <c r="L92" s="364"/>
      <c r="M92" s="364"/>
      <c r="N92" s="365"/>
      <c r="O92" s="81"/>
      <c r="P92" s="80"/>
      <c r="Q92" s="82"/>
      <c r="R92" s="80"/>
      <c r="S92" s="84"/>
      <c r="T92" s="96"/>
      <c r="U92" s="84"/>
      <c r="V92" s="285"/>
      <c r="W92" s="285"/>
    </row>
    <row r="93" spans="1:23" s="85" customFormat="1" ht="36" customHeight="1" x14ac:dyDescent="0.25">
      <c r="A93" s="76"/>
      <c r="B93" s="77"/>
      <c r="C93" s="78"/>
      <c r="D93" s="78"/>
      <c r="E93" s="79"/>
      <c r="F93" s="363"/>
      <c r="G93" s="364"/>
      <c r="H93" s="364"/>
      <c r="I93" s="364"/>
      <c r="J93" s="364"/>
      <c r="K93" s="364"/>
      <c r="L93" s="364"/>
      <c r="M93" s="364"/>
      <c r="N93" s="365"/>
      <c r="O93" s="81"/>
      <c r="P93" s="80"/>
      <c r="Q93" s="82"/>
      <c r="R93" s="80"/>
      <c r="S93" s="84"/>
      <c r="T93" s="96"/>
      <c r="U93" s="84"/>
      <c r="V93" s="285"/>
      <c r="W93" s="285"/>
    </row>
    <row r="94" spans="1:23" s="85" customFormat="1" ht="36" customHeight="1" x14ac:dyDescent="0.25">
      <c r="A94" s="76"/>
      <c r="B94" s="77"/>
      <c r="C94" s="78"/>
      <c r="D94" s="78"/>
      <c r="E94" s="79"/>
      <c r="F94" s="363"/>
      <c r="G94" s="364"/>
      <c r="H94" s="364"/>
      <c r="I94" s="364"/>
      <c r="J94" s="364"/>
      <c r="K94" s="364"/>
      <c r="L94" s="364"/>
      <c r="M94" s="364"/>
      <c r="N94" s="365"/>
      <c r="O94" s="81"/>
      <c r="P94" s="80"/>
      <c r="Q94" s="82"/>
      <c r="R94" s="80"/>
      <c r="S94" s="84"/>
      <c r="T94" s="96"/>
      <c r="U94" s="84"/>
      <c r="V94" s="285"/>
      <c r="W94" s="285"/>
    </row>
    <row r="95" spans="1:23" s="85" customFormat="1" ht="36" customHeight="1" x14ac:dyDescent="0.25">
      <c r="A95" s="76"/>
      <c r="B95" s="77"/>
      <c r="C95" s="78"/>
      <c r="D95" s="78"/>
      <c r="E95" s="79"/>
      <c r="F95" s="363"/>
      <c r="G95" s="364"/>
      <c r="H95" s="364"/>
      <c r="I95" s="364"/>
      <c r="J95" s="364"/>
      <c r="K95" s="364"/>
      <c r="L95" s="364"/>
      <c r="M95" s="364"/>
      <c r="N95" s="365"/>
      <c r="O95" s="81"/>
      <c r="P95" s="80"/>
      <c r="Q95" s="82"/>
      <c r="R95" s="80"/>
      <c r="S95" s="84"/>
      <c r="T95" s="96"/>
      <c r="U95" s="84"/>
      <c r="V95" s="285"/>
      <c r="W95" s="285"/>
    </row>
    <row r="96" spans="1:23" s="85" customFormat="1" ht="36" customHeight="1" x14ac:dyDescent="0.25">
      <c r="A96" s="76"/>
      <c r="B96" s="77"/>
      <c r="C96" s="78"/>
      <c r="D96" s="78"/>
      <c r="E96" s="79"/>
      <c r="F96" s="363"/>
      <c r="G96" s="364"/>
      <c r="H96" s="364"/>
      <c r="I96" s="364"/>
      <c r="J96" s="364"/>
      <c r="K96" s="364"/>
      <c r="L96" s="364"/>
      <c r="M96" s="364"/>
      <c r="N96" s="365"/>
      <c r="O96" s="81"/>
      <c r="P96" s="80"/>
      <c r="Q96" s="82"/>
      <c r="R96" s="80"/>
      <c r="S96" s="84"/>
      <c r="T96" s="96"/>
      <c r="U96" s="84"/>
      <c r="V96" s="285"/>
      <c r="W96" s="285"/>
    </row>
    <row r="97" spans="1:23" s="85" customFormat="1" ht="36" customHeight="1" x14ac:dyDescent="0.25">
      <c r="A97" s="76"/>
      <c r="B97" s="77"/>
      <c r="C97" s="78"/>
      <c r="D97" s="78"/>
      <c r="E97" s="79"/>
      <c r="F97" s="363"/>
      <c r="G97" s="364"/>
      <c r="H97" s="364"/>
      <c r="I97" s="364"/>
      <c r="J97" s="364"/>
      <c r="K97" s="364"/>
      <c r="L97" s="364"/>
      <c r="M97" s="364"/>
      <c r="N97" s="365"/>
      <c r="O97" s="81"/>
      <c r="P97" s="80"/>
      <c r="Q97" s="82"/>
      <c r="R97" s="80"/>
      <c r="S97" s="84"/>
      <c r="T97" s="96"/>
      <c r="U97" s="84"/>
      <c r="V97" s="285"/>
      <c r="W97" s="285"/>
    </row>
    <row r="98" spans="1:23" s="85" customFormat="1" ht="36" customHeight="1" x14ac:dyDescent="0.25">
      <c r="A98" s="76"/>
      <c r="B98" s="77"/>
      <c r="C98" s="78"/>
      <c r="D98" s="78"/>
      <c r="E98" s="79"/>
      <c r="F98" s="363"/>
      <c r="G98" s="364"/>
      <c r="H98" s="364"/>
      <c r="I98" s="364"/>
      <c r="J98" s="364"/>
      <c r="K98" s="364"/>
      <c r="L98" s="364"/>
      <c r="M98" s="364"/>
      <c r="N98" s="365"/>
      <c r="O98" s="81"/>
      <c r="P98" s="80"/>
      <c r="Q98" s="82"/>
      <c r="R98" s="80"/>
      <c r="S98" s="84"/>
      <c r="T98" s="96"/>
      <c r="U98" s="84"/>
      <c r="V98" s="285"/>
      <c r="W98" s="285"/>
    </row>
    <row r="99" spans="1:23" s="85" customFormat="1" ht="36" customHeight="1" x14ac:dyDescent="0.25">
      <c r="A99" s="76"/>
      <c r="B99" s="77"/>
      <c r="C99" s="78"/>
      <c r="D99" s="78"/>
      <c r="E99" s="79"/>
      <c r="F99" s="363"/>
      <c r="G99" s="364"/>
      <c r="H99" s="364"/>
      <c r="I99" s="364"/>
      <c r="J99" s="364"/>
      <c r="K99" s="364"/>
      <c r="L99" s="364"/>
      <c r="M99" s="364"/>
      <c r="N99" s="365"/>
      <c r="O99" s="81"/>
      <c r="P99" s="80"/>
      <c r="Q99" s="93"/>
      <c r="R99" s="80"/>
      <c r="S99" s="94"/>
      <c r="T99" s="96"/>
      <c r="U99" s="84"/>
      <c r="V99" s="285"/>
      <c r="W99" s="285"/>
    </row>
    <row r="100" spans="1:23" s="1" customFormat="1" x14ac:dyDescent="0.25">
      <c r="L100" s="167" t="s">
        <v>111</v>
      </c>
      <c r="M100" s="52"/>
      <c r="N100" s="52"/>
      <c r="O100" s="34">
        <f>SUM(O89:O99)</f>
        <v>100</v>
      </c>
      <c r="P100" s="34">
        <f>SUM(P89:P99)</f>
        <v>100</v>
      </c>
      <c r="Q100" s="36"/>
      <c r="R100" s="34">
        <f>SUM(R89:R99)</f>
        <v>100</v>
      </c>
      <c r="S100" s="36"/>
      <c r="T100" s="166">
        <f>SUM(T89:T99)</f>
        <v>0</v>
      </c>
      <c r="U100" s="30"/>
      <c r="V100" s="166">
        <f>SUM(V89:V99)</f>
        <v>0</v>
      </c>
    </row>
    <row r="102" spans="1:23" s="118" customFormat="1" ht="37.5" customHeight="1" x14ac:dyDescent="0.25">
      <c r="A102" s="142" t="s">
        <v>132</v>
      </c>
      <c r="B102" s="143"/>
      <c r="C102" s="143"/>
      <c r="D102" s="173" t="s">
        <v>236</v>
      </c>
      <c r="E102" s="143"/>
      <c r="F102" s="143"/>
      <c r="G102" s="143"/>
      <c r="H102" s="143"/>
      <c r="I102" s="143"/>
      <c r="J102" s="143"/>
      <c r="K102" s="143"/>
      <c r="L102" s="143"/>
      <c r="M102" s="143"/>
      <c r="N102" s="144"/>
      <c r="O102" s="145" t="s">
        <v>123</v>
      </c>
      <c r="P102" s="145" t="s">
        <v>38</v>
      </c>
      <c r="Q102" s="146" t="s">
        <v>124</v>
      </c>
      <c r="R102" s="145" t="s">
        <v>39</v>
      </c>
      <c r="S102" s="146" t="s">
        <v>124</v>
      </c>
      <c r="T102" s="145" t="s">
        <v>40</v>
      </c>
      <c r="U102" s="146" t="s">
        <v>124</v>
      </c>
      <c r="V102" s="145" t="s">
        <v>552</v>
      </c>
      <c r="W102" s="146" t="s">
        <v>124</v>
      </c>
    </row>
    <row r="103" spans="1:23" x14ac:dyDescent="0.25">
      <c r="A103" s="61" t="s">
        <v>114</v>
      </c>
      <c r="B103" s="62"/>
      <c r="C103" s="27" t="s">
        <v>109</v>
      </c>
      <c r="D103" s="27" t="s">
        <v>108</v>
      </c>
      <c r="E103" s="65" t="s">
        <v>33</v>
      </c>
      <c r="F103" s="50" t="s">
        <v>34</v>
      </c>
      <c r="G103" s="50"/>
      <c r="H103" s="50"/>
      <c r="I103" s="50"/>
      <c r="J103" s="50"/>
      <c r="K103" s="50"/>
      <c r="L103" s="50"/>
      <c r="M103" s="50"/>
      <c r="N103" s="50"/>
      <c r="O103" s="23" t="s">
        <v>35</v>
      </c>
      <c r="P103" s="23" t="s">
        <v>35</v>
      </c>
      <c r="Q103" s="30"/>
      <c r="R103" s="23" t="s">
        <v>35</v>
      </c>
      <c r="S103" s="31"/>
      <c r="T103" s="7" t="s">
        <v>35</v>
      </c>
      <c r="U103" s="295"/>
      <c r="V103" s="6"/>
      <c r="W103" s="6"/>
    </row>
    <row r="104" spans="1:23" s="85" customFormat="1" ht="45" customHeight="1" x14ac:dyDescent="0.25">
      <c r="A104" s="76">
        <v>6</v>
      </c>
      <c r="B104" s="77"/>
      <c r="C104" s="78" t="s">
        <v>63</v>
      </c>
      <c r="D104" s="78" t="s">
        <v>65</v>
      </c>
      <c r="E104" s="87" t="s">
        <v>15</v>
      </c>
      <c r="F104" s="363" t="s">
        <v>282</v>
      </c>
      <c r="G104" s="364"/>
      <c r="H104" s="364"/>
      <c r="I104" s="364"/>
      <c r="J104" s="364"/>
      <c r="K104" s="364"/>
      <c r="L104" s="364"/>
      <c r="M104" s="364"/>
      <c r="N104" s="365"/>
      <c r="O104" s="81">
        <f>(4*115)+760+(5*46)+(2*30)</f>
        <v>1510</v>
      </c>
      <c r="P104" s="81">
        <f>(4*115)+760+(5*46)+(2*30)</f>
        <v>1510</v>
      </c>
      <c r="Q104" s="82"/>
      <c r="R104" s="81">
        <f>(4*115)+760+(5*46)+(2*30)</f>
        <v>1510</v>
      </c>
      <c r="S104" s="84"/>
      <c r="T104" s="81">
        <f>(4*115)+760+(5*46)+(2*30)</f>
        <v>1510</v>
      </c>
      <c r="U104" s="293"/>
      <c r="V104" s="81">
        <f>(4*115)+760+(5*46)+(2*30)</f>
        <v>1510</v>
      </c>
      <c r="W104" s="285"/>
    </row>
    <row r="105" spans="1:23" s="85" customFormat="1" ht="45" customHeight="1" x14ac:dyDescent="0.25">
      <c r="A105" s="76">
        <v>9</v>
      </c>
      <c r="B105" s="77"/>
      <c r="C105" s="78" t="s">
        <v>65</v>
      </c>
      <c r="D105" s="78" t="s">
        <v>66</v>
      </c>
      <c r="E105" s="87" t="s">
        <v>15</v>
      </c>
      <c r="F105" s="363" t="s">
        <v>281</v>
      </c>
      <c r="G105" s="364"/>
      <c r="H105" s="364"/>
      <c r="I105" s="364"/>
      <c r="J105" s="364"/>
      <c r="K105" s="364"/>
      <c r="L105" s="364"/>
      <c r="M105" s="364"/>
      <c r="N105" s="365"/>
      <c r="O105" s="81">
        <f>(4*115)+760+(5*46)+(2*30)</f>
        <v>1510</v>
      </c>
      <c r="P105" s="81">
        <f>(4*115)+760+(5*46)+(2*30)</f>
        <v>1510</v>
      </c>
      <c r="Q105" s="82"/>
      <c r="R105" s="81">
        <f>(4*115)+760+(5*46)+(2*30)</f>
        <v>1510</v>
      </c>
      <c r="S105" s="84"/>
      <c r="T105" s="81">
        <f>(4*115)+760+(5*46)+(2*30)</f>
        <v>1510</v>
      </c>
      <c r="U105" s="293"/>
      <c r="V105" s="81">
        <f>(4*115)+760+(5*46)+(2*30)</f>
        <v>1510</v>
      </c>
      <c r="W105" s="285"/>
    </row>
    <row r="106" spans="1:23" s="85" customFormat="1" ht="45" customHeight="1" x14ac:dyDescent="0.25">
      <c r="A106" s="76">
        <v>18</v>
      </c>
      <c r="B106" s="77"/>
      <c r="C106" s="78" t="s">
        <v>63</v>
      </c>
      <c r="D106" s="78" t="s">
        <v>63</v>
      </c>
      <c r="E106" s="87" t="s">
        <v>15</v>
      </c>
      <c r="F106" s="363" t="s">
        <v>467</v>
      </c>
      <c r="G106" s="364"/>
      <c r="H106" s="364"/>
      <c r="I106" s="364"/>
      <c r="J106" s="364"/>
      <c r="K106" s="364"/>
      <c r="L106" s="364"/>
      <c r="M106" s="364"/>
      <c r="N106" s="365"/>
      <c r="O106" s="81">
        <f>(4*4*92)+(4*5*46)+(4*500)+(4*2*25)</f>
        <v>4592</v>
      </c>
      <c r="P106" s="81">
        <f>(4*4*92)+(4*5*46)+(4*500)+(4*2*25)</f>
        <v>4592</v>
      </c>
      <c r="Q106" s="82"/>
      <c r="R106" s="81">
        <f>(2*4*92)+(2*5*46)+(2*500)+(2*2*25)</f>
        <v>2296</v>
      </c>
      <c r="S106" s="84"/>
      <c r="T106" s="81">
        <f>(2*4*92)+(2*5*46)+(2*500)+(2*2*25)</f>
        <v>2296</v>
      </c>
      <c r="U106" s="293"/>
      <c r="V106" s="81">
        <f>(2*4*92)+(2*5*46)+(2*500)+(2*2*25)</f>
        <v>2296</v>
      </c>
      <c r="W106" s="285"/>
    </row>
    <row r="107" spans="1:23" s="85" customFormat="1" ht="45" customHeight="1" x14ac:dyDescent="0.25">
      <c r="A107" s="76">
        <v>19</v>
      </c>
      <c r="B107" s="77"/>
      <c r="C107" s="78" t="s">
        <v>64</v>
      </c>
      <c r="D107" s="78" t="s">
        <v>64</v>
      </c>
      <c r="E107" s="87" t="s">
        <v>15</v>
      </c>
      <c r="F107" s="363" t="s">
        <v>404</v>
      </c>
      <c r="G107" s="364"/>
      <c r="H107" s="364"/>
      <c r="I107" s="364"/>
      <c r="J107" s="364"/>
      <c r="K107" s="364"/>
      <c r="L107" s="364"/>
      <c r="M107" s="364"/>
      <c r="N107" s="365"/>
      <c r="O107" s="81">
        <f>(3*2*92)+(3*3*23)+(434*0.262)</f>
        <v>872.70799999999997</v>
      </c>
      <c r="P107" s="81">
        <f>(3*2*92)+(3*3*23)+(434*0.262)</f>
        <v>872.70799999999997</v>
      </c>
      <c r="Q107" s="82"/>
      <c r="R107" s="81">
        <f>(3*2*92)+(3*3*23)+(434*0.262)</f>
        <v>872.70799999999997</v>
      </c>
      <c r="S107" s="84"/>
      <c r="T107" s="81">
        <f>(3*2*92)+(3*3*23)+(434*0.262)</f>
        <v>872.70799999999997</v>
      </c>
      <c r="U107" s="293"/>
      <c r="V107" s="81">
        <f>(3*2*92)+(3*3*23)+(434*0.262)</f>
        <v>872.70799999999997</v>
      </c>
      <c r="W107" s="285"/>
    </row>
    <row r="108" spans="1:23" s="85" customFormat="1" ht="45" customHeight="1" x14ac:dyDescent="0.25">
      <c r="A108" s="269">
        <v>7</v>
      </c>
      <c r="B108" s="270"/>
      <c r="C108" s="271" t="s">
        <v>63</v>
      </c>
      <c r="D108" s="271" t="s">
        <v>63</v>
      </c>
      <c r="E108" s="275" t="s">
        <v>15</v>
      </c>
      <c r="F108" s="342" t="s">
        <v>458</v>
      </c>
      <c r="G108" s="343"/>
      <c r="H108" s="343"/>
      <c r="I108" s="343"/>
      <c r="J108" s="343"/>
      <c r="K108" s="343"/>
      <c r="L108" s="343"/>
      <c r="M108" s="343"/>
      <c r="N108" s="344"/>
      <c r="O108" s="274">
        <f>(2*2*150)+(4*50)+80+(2*3*23)</f>
        <v>1018</v>
      </c>
      <c r="P108" s="274">
        <f>(2*2*150)+(4*50)+80+(2*3*23)</f>
        <v>1018</v>
      </c>
      <c r="Q108" s="276"/>
      <c r="R108" s="274">
        <v>0</v>
      </c>
      <c r="S108" s="286" t="s">
        <v>539</v>
      </c>
      <c r="T108" s="274">
        <v>0</v>
      </c>
      <c r="U108" s="293"/>
      <c r="V108" s="274">
        <v>0</v>
      </c>
      <c r="W108" s="285"/>
    </row>
    <row r="109" spans="1:23" s="85" customFormat="1" ht="45" customHeight="1" x14ac:dyDescent="0.25">
      <c r="A109" s="76">
        <v>22</v>
      </c>
      <c r="B109" s="77"/>
      <c r="C109" s="78" t="s">
        <v>64</v>
      </c>
      <c r="D109" s="78" t="s">
        <v>66</v>
      </c>
      <c r="E109" s="87" t="s">
        <v>15</v>
      </c>
      <c r="F109" s="363" t="s">
        <v>417</v>
      </c>
      <c r="G109" s="364"/>
      <c r="H109" s="364"/>
      <c r="I109" s="364"/>
      <c r="J109" s="364"/>
      <c r="K109" s="364"/>
      <c r="L109" s="364"/>
      <c r="M109" s="364"/>
      <c r="N109" s="365"/>
      <c r="O109" s="81">
        <f>(3*227)+590+(2*30)+(3*46)</f>
        <v>1469</v>
      </c>
      <c r="P109" s="81">
        <f>(3*227)+590+(2*30)+(3*46)</f>
        <v>1469</v>
      </c>
      <c r="Q109" s="82"/>
      <c r="R109" s="81">
        <f>(3*227)+590+(2*30)+(3*46)</f>
        <v>1469</v>
      </c>
      <c r="S109" s="84"/>
      <c r="T109" s="81">
        <f>(3*227)+590+(2*30)+(3*46)</f>
        <v>1469</v>
      </c>
      <c r="U109" s="293"/>
      <c r="V109" s="81">
        <f>(3*227)+590+(2*30)+(3*46)</f>
        <v>1469</v>
      </c>
      <c r="W109" s="285"/>
    </row>
    <row r="110" spans="1:23" s="85" customFormat="1" ht="45" customHeight="1" x14ac:dyDescent="0.25">
      <c r="A110" s="76">
        <v>23</v>
      </c>
      <c r="B110" s="77"/>
      <c r="C110" s="78" t="s">
        <v>65</v>
      </c>
      <c r="D110" s="78" t="s">
        <v>66</v>
      </c>
      <c r="E110" s="87" t="s">
        <v>15</v>
      </c>
      <c r="F110" s="363" t="s">
        <v>331</v>
      </c>
      <c r="G110" s="364"/>
      <c r="H110" s="364"/>
      <c r="I110" s="364"/>
      <c r="J110" s="364"/>
      <c r="K110" s="364"/>
      <c r="L110" s="364"/>
      <c r="M110" s="364"/>
      <c r="N110" s="365"/>
      <c r="O110" s="81">
        <f>(5*200)+900+(6*46)+(2*50)</f>
        <v>2276</v>
      </c>
      <c r="P110" s="81">
        <f>(5*200)+900+(6*46)+(2*50)</f>
        <v>2276</v>
      </c>
      <c r="Q110" s="82"/>
      <c r="R110" s="81">
        <f>(5*200)+900+(6*46)+(2*50)</f>
        <v>2276</v>
      </c>
      <c r="S110" s="84"/>
      <c r="T110" s="81">
        <f>(5*200)+900+(6*46)+(2*50)</f>
        <v>2276</v>
      </c>
      <c r="U110" s="293"/>
      <c r="V110" s="81">
        <f>(5*200)+900+(6*46)+(2*50)</f>
        <v>2276</v>
      </c>
      <c r="W110" s="285"/>
    </row>
    <row r="111" spans="1:23" s="85" customFormat="1" ht="45" customHeight="1" x14ac:dyDescent="0.25">
      <c r="A111" s="269">
        <v>24</v>
      </c>
      <c r="B111" s="270"/>
      <c r="C111" s="271" t="s">
        <v>63</v>
      </c>
      <c r="D111" s="271" t="s">
        <v>66</v>
      </c>
      <c r="E111" s="275" t="s">
        <v>15</v>
      </c>
      <c r="F111" s="342" t="s">
        <v>459</v>
      </c>
      <c r="G111" s="343"/>
      <c r="H111" s="343"/>
      <c r="I111" s="343"/>
      <c r="J111" s="343"/>
      <c r="K111" s="343"/>
      <c r="L111" s="343"/>
      <c r="M111" s="343"/>
      <c r="N111" s="344"/>
      <c r="O111" s="274">
        <v>6010</v>
      </c>
      <c r="P111" s="274">
        <f>(4*3*140)+(4*550)+(4*4*46)+(4*50)+40</f>
        <v>4856</v>
      </c>
      <c r="Q111" s="276" t="s">
        <v>456</v>
      </c>
      <c r="R111" s="274">
        <f>1567+28+1362+240+160</f>
        <v>3357</v>
      </c>
      <c r="S111" s="286" t="s">
        <v>507</v>
      </c>
      <c r="T111" s="274">
        <f>1567+28+1362+240+160</f>
        <v>3357</v>
      </c>
      <c r="U111" s="293"/>
      <c r="V111" s="274">
        <f>1567+28+1362+240+160</f>
        <v>3357</v>
      </c>
      <c r="W111" s="285"/>
    </row>
    <row r="112" spans="1:23" s="85" customFormat="1" ht="45" customHeight="1" x14ac:dyDescent="0.25">
      <c r="A112" s="76">
        <v>25</v>
      </c>
      <c r="B112" s="77"/>
      <c r="C112" s="78" t="s">
        <v>66</v>
      </c>
      <c r="D112" s="78" t="s">
        <v>66</v>
      </c>
      <c r="E112" s="87" t="s">
        <v>15</v>
      </c>
      <c r="F112" s="363" t="s">
        <v>333</v>
      </c>
      <c r="G112" s="364"/>
      <c r="H112" s="364"/>
      <c r="I112" s="364"/>
      <c r="J112" s="364"/>
      <c r="K112" s="364"/>
      <c r="L112" s="364"/>
      <c r="M112" s="364"/>
      <c r="N112" s="365"/>
      <c r="O112" s="81">
        <f>(7*125)+1050+(9*46)+(7*40)+80</f>
        <v>2699</v>
      </c>
      <c r="P112" s="81">
        <f>(7*125)+1050+(9*46)+(7*40)+80</f>
        <v>2699</v>
      </c>
      <c r="Q112" s="82"/>
      <c r="R112" s="81">
        <f>(7*125)+1050+(9*46)+(7*40)+80</f>
        <v>2699</v>
      </c>
      <c r="S112" s="84"/>
      <c r="T112" s="81">
        <f>(7*125)+1050+(9*46)+(7*40)+80</f>
        <v>2699</v>
      </c>
      <c r="U112" s="293"/>
      <c r="V112" s="81">
        <f>(7*125)+1050+(9*46)+(7*40)+80</f>
        <v>2699</v>
      </c>
      <c r="W112" s="285"/>
    </row>
    <row r="113" spans="1:23" s="85" customFormat="1" ht="33.75" customHeight="1" x14ac:dyDescent="0.25">
      <c r="A113" s="76">
        <v>26</v>
      </c>
      <c r="B113" s="77"/>
      <c r="C113" s="78" t="s">
        <v>63</v>
      </c>
      <c r="D113" s="78" t="s">
        <v>66</v>
      </c>
      <c r="E113" s="87" t="s">
        <v>15</v>
      </c>
      <c r="F113" s="363" t="s">
        <v>383</v>
      </c>
      <c r="G113" s="364"/>
      <c r="H113" s="364"/>
      <c r="I113" s="364"/>
      <c r="J113" s="364"/>
      <c r="K113" s="364"/>
      <c r="L113" s="364"/>
      <c r="M113" s="364"/>
      <c r="N113" s="365"/>
      <c r="O113" s="81">
        <f>(200*0.564)+(6*92)+(6*23)</f>
        <v>802.8</v>
      </c>
      <c r="P113" s="81">
        <f>(200*0.564)+(6*92)+(6*23)</f>
        <v>802.8</v>
      </c>
      <c r="Q113" s="82"/>
      <c r="R113" s="81">
        <f>(200*0.564)+(6*92)+(6*23)</f>
        <v>802.8</v>
      </c>
      <c r="S113" s="84"/>
      <c r="T113" s="81">
        <v>0</v>
      </c>
      <c r="U113" s="293"/>
      <c r="V113" s="81">
        <v>0</v>
      </c>
      <c r="W113" s="285"/>
    </row>
    <row r="114" spans="1:23" s="85" customFormat="1" ht="33.75" customHeight="1" x14ac:dyDescent="0.25">
      <c r="A114" s="76">
        <v>27</v>
      </c>
      <c r="B114" s="77"/>
      <c r="C114" s="78" t="s">
        <v>63</v>
      </c>
      <c r="D114" s="78" t="s">
        <v>66</v>
      </c>
      <c r="E114" s="87" t="s">
        <v>15</v>
      </c>
      <c r="F114" s="363" t="s">
        <v>340</v>
      </c>
      <c r="G114" s="364"/>
      <c r="H114" s="364"/>
      <c r="I114" s="364"/>
      <c r="J114" s="364"/>
      <c r="K114" s="364"/>
      <c r="L114" s="364"/>
      <c r="M114" s="364"/>
      <c r="N114" s="365"/>
      <c r="O114" s="81">
        <f>(2*92)+(4*23)+(600*0.9)</f>
        <v>816</v>
      </c>
      <c r="P114" s="81">
        <f>(2*92)+(4*23)+(600*0.9)</f>
        <v>816</v>
      </c>
      <c r="Q114" s="82"/>
      <c r="R114" s="81">
        <f>(2*92)+(4*23)+(600*0.9)</f>
        <v>816</v>
      </c>
      <c r="S114" s="84"/>
      <c r="T114" s="81">
        <f>(2*92)+(4*23)+(600*0.9)</f>
        <v>816</v>
      </c>
      <c r="U114" s="293"/>
      <c r="V114" s="81">
        <f>(2*92)+(4*23)+(600*0.9)</f>
        <v>816</v>
      </c>
      <c r="W114" s="285"/>
    </row>
    <row r="115" spans="1:23" s="85" customFormat="1" ht="33.75" customHeight="1" x14ac:dyDescent="0.25">
      <c r="A115" s="76">
        <v>29</v>
      </c>
      <c r="B115" s="77"/>
      <c r="C115" s="78" t="s">
        <v>66</v>
      </c>
      <c r="D115" s="78" t="s">
        <v>66</v>
      </c>
      <c r="E115" s="87" t="s">
        <v>15</v>
      </c>
      <c r="F115" s="363" t="s">
        <v>343</v>
      </c>
      <c r="G115" s="364"/>
      <c r="H115" s="364"/>
      <c r="I115" s="364"/>
      <c r="J115" s="364"/>
      <c r="K115" s="364"/>
      <c r="L115" s="364"/>
      <c r="M115" s="364"/>
      <c r="N115" s="365"/>
      <c r="O115" s="81">
        <f>(4*250)+800+(5*46)+50</f>
        <v>2080</v>
      </c>
      <c r="P115" s="81">
        <f>(4*250)+800+(5*46)+50</f>
        <v>2080</v>
      </c>
      <c r="Q115" s="82"/>
      <c r="R115" s="81">
        <f>(4*250)+800+(5*46)+50</f>
        <v>2080</v>
      </c>
      <c r="S115" s="84"/>
      <c r="T115" s="81">
        <f>(4*250)+800+(5*46)+50</f>
        <v>2080</v>
      </c>
      <c r="U115" s="293"/>
      <c r="V115" s="81">
        <f>(4*250)+800+(5*46)+50</f>
        <v>2080</v>
      </c>
      <c r="W115" s="285"/>
    </row>
    <row r="116" spans="1:23" s="85" customFormat="1" ht="33.75" customHeight="1" x14ac:dyDescent="0.25">
      <c r="A116" s="76">
        <v>20</v>
      </c>
      <c r="B116" s="77"/>
      <c r="C116" s="78" t="s">
        <v>64</v>
      </c>
      <c r="D116" s="78" t="s">
        <v>64</v>
      </c>
      <c r="E116" s="87" t="s">
        <v>15</v>
      </c>
      <c r="F116" s="363" t="s">
        <v>348</v>
      </c>
      <c r="G116" s="364"/>
      <c r="H116" s="364"/>
      <c r="I116" s="364"/>
      <c r="J116" s="364"/>
      <c r="K116" s="364"/>
      <c r="L116" s="364"/>
      <c r="M116" s="364"/>
      <c r="N116" s="365"/>
      <c r="O116" s="81">
        <f>(2*55)+40+95+23</f>
        <v>268</v>
      </c>
      <c r="P116" s="81">
        <f>(2*55)+40+95+23</f>
        <v>268</v>
      </c>
      <c r="Q116" s="82"/>
      <c r="R116" s="81">
        <f>(2*55)+40+95+23</f>
        <v>268</v>
      </c>
      <c r="S116" s="84"/>
      <c r="T116" s="81">
        <f>(2*55)+40+95+23</f>
        <v>268</v>
      </c>
      <c r="U116" s="293"/>
      <c r="V116" s="81">
        <f>(2*55)+40+95+23</f>
        <v>268</v>
      </c>
      <c r="W116" s="285"/>
    </row>
    <row r="117" spans="1:23" s="85" customFormat="1" ht="45" customHeight="1" x14ac:dyDescent="0.25">
      <c r="A117" s="262">
        <v>33</v>
      </c>
      <c r="B117" s="263"/>
      <c r="C117" s="261" t="s">
        <v>65</v>
      </c>
      <c r="D117" s="261" t="s">
        <v>66</v>
      </c>
      <c r="E117" s="87" t="s">
        <v>15</v>
      </c>
      <c r="F117" s="363" t="s">
        <v>425</v>
      </c>
      <c r="G117" s="364"/>
      <c r="H117" s="364"/>
      <c r="I117" s="364"/>
      <c r="J117" s="364"/>
      <c r="K117" s="364"/>
      <c r="L117" s="364"/>
      <c r="M117" s="364"/>
      <c r="N117" s="365"/>
      <c r="O117" s="81">
        <f>850+(4*220)+(2*50)+(5*46)</f>
        <v>2060</v>
      </c>
      <c r="P117" s="81">
        <f>850+(4*220)+(2*50)+(5*46)</f>
        <v>2060</v>
      </c>
      <c r="Q117" s="82"/>
      <c r="R117" s="81">
        <f>850+(4*220)+(2*50)+(5*46)</f>
        <v>2060</v>
      </c>
      <c r="S117" s="260"/>
      <c r="T117" s="81">
        <f>850+(4*220)+(2*50)+(5*46)</f>
        <v>2060</v>
      </c>
      <c r="U117" s="293"/>
      <c r="V117" s="81">
        <f>850+(4*220)+(2*50)+(5*46)</f>
        <v>2060</v>
      </c>
      <c r="W117" s="285"/>
    </row>
    <row r="118" spans="1:23" s="85" customFormat="1" ht="45" customHeight="1" x14ac:dyDescent="0.25">
      <c r="A118" s="264">
        <v>34</v>
      </c>
      <c r="B118" s="265"/>
      <c r="C118" s="267" t="s">
        <v>65</v>
      </c>
      <c r="D118" s="267" t="s">
        <v>66</v>
      </c>
      <c r="E118" s="87" t="s">
        <v>15</v>
      </c>
      <c r="F118" s="363" t="s">
        <v>431</v>
      </c>
      <c r="G118" s="364"/>
      <c r="H118" s="364"/>
      <c r="I118" s="364"/>
      <c r="J118" s="364"/>
      <c r="K118" s="364"/>
      <c r="L118" s="364"/>
      <c r="M118" s="364"/>
      <c r="N118" s="365"/>
      <c r="O118" s="81">
        <f>550+(5*200)+(6*46)+(2*30)</f>
        <v>1886</v>
      </c>
      <c r="P118" s="81">
        <f>550+(5*200)+(6*46)+(2*30)</f>
        <v>1886</v>
      </c>
      <c r="Q118" s="82"/>
      <c r="R118" s="81">
        <f>550+(5*200)+(6*46)+(2*30)</f>
        <v>1886</v>
      </c>
      <c r="S118" s="266"/>
      <c r="T118" s="81">
        <f>550+(5*200)+(6*46)+(2*30)</f>
        <v>1886</v>
      </c>
      <c r="U118" s="293"/>
      <c r="V118" s="81">
        <f>550+(5*200)+(6*46)+(2*30)</f>
        <v>1886</v>
      </c>
      <c r="W118" s="285"/>
    </row>
    <row r="119" spans="1:23" s="85" customFormat="1" ht="45" customHeight="1" x14ac:dyDescent="0.25">
      <c r="A119" s="269">
        <v>36</v>
      </c>
      <c r="B119" s="270"/>
      <c r="C119" s="271" t="s">
        <v>64</v>
      </c>
      <c r="D119" s="271" t="s">
        <v>66</v>
      </c>
      <c r="E119" s="275" t="s">
        <v>15</v>
      </c>
      <c r="F119" s="342" t="s">
        <v>453</v>
      </c>
      <c r="G119" s="343"/>
      <c r="H119" s="343"/>
      <c r="I119" s="343"/>
      <c r="J119" s="343"/>
      <c r="K119" s="343"/>
      <c r="L119" s="343"/>
      <c r="M119" s="343"/>
      <c r="N119" s="344"/>
      <c r="O119" s="273"/>
      <c r="P119" s="274">
        <f>(4*287.5)+700+60+(5*46)</f>
        <v>2140</v>
      </c>
      <c r="Q119" s="82" t="s">
        <v>457</v>
      </c>
      <c r="R119" s="274">
        <f>(4*287.5)+700+60+(5*46)</f>
        <v>2140</v>
      </c>
      <c r="S119" s="268"/>
      <c r="T119" s="274">
        <f>(4*287.5)+700+60+(5*46)</f>
        <v>2140</v>
      </c>
      <c r="U119" s="293"/>
      <c r="V119" s="274">
        <f>(4*287.5)+700+60+(5*46)</f>
        <v>2140</v>
      </c>
      <c r="W119" s="285"/>
    </row>
    <row r="120" spans="1:23" s="85" customFormat="1" ht="45" customHeight="1" x14ac:dyDescent="0.25">
      <c r="A120" s="269">
        <v>31</v>
      </c>
      <c r="B120" s="270"/>
      <c r="C120" s="271" t="s">
        <v>63</v>
      </c>
      <c r="D120" s="271" t="s">
        <v>63</v>
      </c>
      <c r="E120" s="275" t="s">
        <v>15</v>
      </c>
      <c r="F120" s="342" t="s">
        <v>519</v>
      </c>
      <c r="G120" s="343"/>
      <c r="H120" s="343"/>
      <c r="I120" s="343"/>
      <c r="J120" s="343"/>
      <c r="K120" s="343"/>
      <c r="L120" s="343"/>
      <c r="M120" s="343"/>
      <c r="N120" s="344"/>
      <c r="O120" s="274">
        <f>(2*3*205)+(2*800)+(2*4*46)+(2*30)</f>
        <v>3258</v>
      </c>
      <c r="P120" s="274">
        <f>(2*3*205)+(2*800)+(2*4*46)+(2*30)</f>
        <v>3258</v>
      </c>
      <c r="Q120" s="276"/>
      <c r="R120" s="274">
        <f>(3*3*205)+(3*800)+(3*4*46)</f>
        <v>4797</v>
      </c>
      <c r="S120" s="286" t="s">
        <v>466</v>
      </c>
      <c r="T120" s="274">
        <f>(3*3*205)+(3*800)+(3*4*46)</f>
        <v>4797</v>
      </c>
      <c r="U120" s="293"/>
      <c r="V120" s="274">
        <f>(3*3*205)+(3*800)+(3*4*46)</f>
        <v>4797</v>
      </c>
      <c r="W120" s="285"/>
    </row>
    <row r="121" spans="1:23" s="85" customFormat="1" ht="60" customHeight="1" x14ac:dyDescent="0.25">
      <c r="A121" s="271">
        <v>37</v>
      </c>
      <c r="B121" s="271"/>
      <c r="C121" s="271" t="s">
        <v>64</v>
      </c>
      <c r="D121" s="280" t="s">
        <v>66</v>
      </c>
      <c r="E121" s="280" t="s">
        <v>15</v>
      </c>
      <c r="F121" s="370" t="s">
        <v>521</v>
      </c>
      <c r="G121" s="370"/>
      <c r="H121" s="370"/>
      <c r="I121" s="370"/>
      <c r="J121" s="370"/>
      <c r="K121" s="370"/>
      <c r="L121" s="370"/>
      <c r="M121" s="370"/>
      <c r="N121" s="370"/>
      <c r="O121" s="280"/>
      <c r="P121" s="280"/>
      <c r="Q121" s="280"/>
      <c r="R121" s="280">
        <f>180+(2*23)+(370*0.261)</f>
        <v>322.57</v>
      </c>
      <c r="S121" s="286" t="s">
        <v>542</v>
      </c>
      <c r="T121" s="280">
        <f>180+(2*23)+(370*0.261)</f>
        <v>322.57</v>
      </c>
      <c r="U121" s="293"/>
      <c r="V121" s="280">
        <f>180+(2*23)+(370*0.261)</f>
        <v>322.57</v>
      </c>
      <c r="W121" s="285"/>
    </row>
    <row r="122" spans="1:23" s="85" customFormat="1" ht="60" customHeight="1" x14ac:dyDescent="0.25">
      <c r="A122" s="283">
        <v>40</v>
      </c>
      <c r="B122" s="283"/>
      <c r="C122" s="283" t="s">
        <v>66</v>
      </c>
      <c r="D122" s="283" t="s">
        <v>66</v>
      </c>
      <c r="E122" s="284" t="s">
        <v>15</v>
      </c>
      <c r="F122" s="369" t="s">
        <v>488</v>
      </c>
      <c r="G122" s="369"/>
      <c r="H122" s="369"/>
      <c r="I122" s="369"/>
      <c r="J122" s="369"/>
      <c r="K122" s="369"/>
      <c r="L122" s="369"/>
      <c r="M122" s="369"/>
      <c r="N122" s="369"/>
      <c r="O122" s="284"/>
      <c r="P122" s="284"/>
      <c r="Q122" s="284"/>
      <c r="R122" s="284">
        <f>550+(5*200)+(2*30)+(6*46)</f>
        <v>1886</v>
      </c>
      <c r="S122" s="286" t="s">
        <v>542</v>
      </c>
      <c r="T122" s="284">
        <f>550+(5*200)+(2*30)+(6*46)</f>
        <v>1886</v>
      </c>
      <c r="U122" s="296"/>
      <c r="V122" s="284">
        <f>550+(5*200)+(2*30)+(6*46)</f>
        <v>1886</v>
      </c>
      <c r="W122" s="285"/>
    </row>
    <row r="123" spans="1:23" s="85" customFormat="1" ht="60" customHeight="1" x14ac:dyDescent="0.25">
      <c r="A123" s="271">
        <v>42</v>
      </c>
      <c r="B123" s="271"/>
      <c r="C123" s="271" t="s">
        <v>64</v>
      </c>
      <c r="D123" s="271" t="s">
        <v>66</v>
      </c>
      <c r="E123" s="280" t="s">
        <v>15</v>
      </c>
      <c r="F123" s="370" t="s">
        <v>502</v>
      </c>
      <c r="G123" s="370"/>
      <c r="H123" s="370"/>
      <c r="I123" s="370"/>
      <c r="J123" s="370"/>
      <c r="K123" s="370"/>
      <c r="L123" s="370"/>
      <c r="M123" s="370"/>
      <c r="N123" s="370"/>
      <c r="O123" s="280"/>
      <c r="P123" s="280"/>
      <c r="Q123" s="280"/>
      <c r="R123" s="280">
        <f>800+(4*130)+(5*46)+(5*38)+40</f>
        <v>1780</v>
      </c>
      <c r="S123" s="286" t="s">
        <v>542</v>
      </c>
      <c r="T123" s="280">
        <f>800+(4*130)+(5*46)+(5*38)+40</f>
        <v>1780</v>
      </c>
      <c r="U123" s="296"/>
      <c r="V123" s="280">
        <f>800+(4*130)+(5*46)+(5*38)+40</f>
        <v>1780</v>
      </c>
      <c r="W123" s="285"/>
    </row>
    <row r="124" spans="1:23" s="85" customFormat="1" ht="60" customHeight="1" x14ac:dyDescent="0.25">
      <c r="A124" s="271">
        <v>46</v>
      </c>
      <c r="B124" s="271"/>
      <c r="C124" s="271" t="s">
        <v>64</v>
      </c>
      <c r="D124" s="271" t="s">
        <v>66</v>
      </c>
      <c r="E124" s="280" t="s">
        <v>15</v>
      </c>
      <c r="F124" s="370" t="s">
        <v>536</v>
      </c>
      <c r="G124" s="370"/>
      <c r="H124" s="370"/>
      <c r="I124" s="370"/>
      <c r="J124" s="370"/>
      <c r="K124" s="370"/>
      <c r="L124" s="370"/>
      <c r="M124" s="370"/>
      <c r="N124" s="370"/>
      <c r="O124" s="280"/>
      <c r="P124" s="280"/>
      <c r="Q124" s="280"/>
      <c r="R124" s="280">
        <f>(3*3*209)+(3*800)+(2*25)+(3*4*46)+(2*3*25)</f>
        <v>5033</v>
      </c>
      <c r="S124" s="286" t="s">
        <v>542</v>
      </c>
      <c r="T124" s="280">
        <f>(3*3*209)+(3*800)+(2*25)+(3*4*46)+(2*3*25)</f>
        <v>5033</v>
      </c>
      <c r="U124" s="297"/>
      <c r="V124" s="280">
        <f>(3*3*209)+(3*800)+(2*25)+(3*4*46)+(2*3*25)</f>
        <v>5033</v>
      </c>
      <c r="W124" s="285"/>
    </row>
    <row r="125" spans="1:23" s="85" customFormat="1" ht="75" customHeight="1" x14ac:dyDescent="0.25">
      <c r="A125" s="285">
        <v>48</v>
      </c>
      <c r="B125" s="285"/>
      <c r="C125" s="271" t="s">
        <v>64</v>
      </c>
      <c r="D125" s="271" t="s">
        <v>66</v>
      </c>
      <c r="E125" s="280" t="s">
        <v>15</v>
      </c>
      <c r="F125" s="363" t="s">
        <v>564</v>
      </c>
      <c r="G125" s="361"/>
      <c r="H125" s="361"/>
      <c r="I125" s="361"/>
      <c r="J125" s="361"/>
      <c r="K125" s="361"/>
      <c r="L125" s="361"/>
      <c r="M125" s="361"/>
      <c r="N125" s="362"/>
      <c r="O125" s="285"/>
      <c r="P125" s="285"/>
      <c r="Q125" s="285"/>
      <c r="R125" s="285"/>
      <c r="S125" s="285"/>
      <c r="T125" s="285"/>
      <c r="U125" s="296"/>
      <c r="V125" s="299">
        <f>1035+448+1282+322</f>
        <v>3087</v>
      </c>
      <c r="W125" s="300" t="s">
        <v>565</v>
      </c>
    </row>
    <row r="126" spans="1:23" s="1" customFormat="1" x14ac:dyDescent="0.25">
      <c r="M126" s="279" t="s">
        <v>112</v>
      </c>
      <c r="N126" s="279"/>
      <c r="O126" s="34">
        <f>SUM(O104:O120)</f>
        <v>33127.508000000002</v>
      </c>
      <c r="P126" s="34">
        <f>SUM(P104:P120)</f>
        <v>34113.508000000002</v>
      </c>
      <c r="Q126" s="26"/>
      <c r="R126" s="34">
        <f>SUM(R104:R124)</f>
        <v>39861.077999999994</v>
      </c>
      <c r="S126" s="26"/>
      <c r="T126" s="166">
        <f>SUM(T104:T124)</f>
        <v>39058.277999999998</v>
      </c>
      <c r="U126" s="26"/>
      <c r="V126" s="166">
        <f>SUM(V104:V125)</f>
        <v>42145.277999999998</v>
      </c>
    </row>
    <row r="128" spans="1:23" s="118" customFormat="1" ht="37.5" customHeight="1" x14ac:dyDescent="0.25">
      <c r="A128" s="147" t="s">
        <v>205</v>
      </c>
      <c r="B128" s="148"/>
      <c r="C128" s="148"/>
      <c r="D128" s="148"/>
      <c r="E128" s="148"/>
      <c r="F128" s="148"/>
      <c r="G128" s="148"/>
      <c r="H128" s="148"/>
      <c r="I128" s="148"/>
      <c r="J128" s="148"/>
      <c r="K128" s="148"/>
      <c r="L128" s="148"/>
      <c r="M128" s="148"/>
      <c r="N128" s="149"/>
      <c r="O128" s="150" t="s">
        <v>123</v>
      </c>
      <c r="P128" s="150" t="s">
        <v>38</v>
      </c>
      <c r="Q128" s="151" t="s">
        <v>124</v>
      </c>
      <c r="R128" s="150" t="s">
        <v>39</v>
      </c>
      <c r="S128" s="151" t="s">
        <v>124</v>
      </c>
      <c r="T128" s="150" t="s">
        <v>40</v>
      </c>
      <c r="U128" s="151" t="s">
        <v>124</v>
      </c>
      <c r="V128" s="150" t="s">
        <v>552</v>
      </c>
      <c r="W128" s="151" t="s">
        <v>124</v>
      </c>
    </row>
    <row r="129" spans="1:23" x14ac:dyDescent="0.25">
      <c r="A129" s="61" t="s">
        <v>114</v>
      </c>
      <c r="B129" s="62"/>
      <c r="C129" s="27" t="s">
        <v>109</v>
      </c>
      <c r="D129" s="27" t="s">
        <v>108</v>
      </c>
      <c r="E129" s="65" t="s">
        <v>33</v>
      </c>
      <c r="F129" s="50" t="s">
        <v>34</v>
      </c>
      <c r="G129" s="50"/>
      <c r="H129" s="50"/>
      <c r="I129" s="50"/>
      <c r="J129" s="50"/>
      <c r="K129" s="50"/>
      <c r="L129" s="50"/>
      <c r="M129" s="50"/>
      <c r="N129" s="50"/>
      <c r="O129" s="23" t="s">
        <v>35</v>
      </c>
      <c r="P129" s="23" t="s">
        <v>35</v>
      </c>
      <c r="Q129" s="30"/>
      <c r="R129" s="23" t="s">
        <v>35</v>
      </c>
      <c r="S129" s="31"/>
      <c r="T129" s="7" t="s">
        <v>35</v>
      </c>
      <c r="U129" s="295"/>
      <c r="V129" s="6"/>
      <c r="W129" s="6"/>
    </row>
    <row r="130" spans="1:23" s="85" customFormat="1" ht="35.25" customHeight="1" x14ac:dyDescent="0.25">
      <c r="A130" s="76">
        <v>4</v>
      </c>
      <c r="B130" s="77"/>
      <c r="C130" s="78" t="s">
        <v>63</v>
      </c>
      <c r="D130" s="78" t="s">
        <v>66</v>
      </c>
      <c r="E130" s="79" t="s">
        <v>20</v>
      </c>
      <c r="F130" s="363" t="s">
        <v>269</v>
      </c>
      <c r="G130" s="364"/>
      <c r="H130" s="364"/>
      <c r="I130" s="364"/>
      <c r="J130" s="364"/>
      <c r="K130" s="364"/>
      <c r="L130" s="364"/>
      <c r="M130" s="364"/>
      <c r="N130" s="365"/>
      <c r="O130" s="81">
        <f>(3*600)+(10*325)+900</f>
        <v>5950</v>
      </c>
      <c r="P130" s="81">
        <f>(3*600)+(10*325)+900</f>
        <v>5950</v>
      </c>
      <c r="Q130" s="82"/>
      <c r="R130" s="81">
        <f>(3*600)+(10*325)+900</f>
        <v>5950</v>
      </c>
      <c r="S130" s="84"/>
      <c r="T130" s="81">
        <f>(3*600)+(10*325)+900</f>
        <v>5950</v>
      </c>
      <c r="U130" s="293"/>
      <c r="V130" s="81">
        <f>(3*600)+(10*325)+900</f>
        <v>5950</v>
      </c>
      <c r="W130" s="285"/>
    </row>
    <row r="131" spans="1:23" s="85" customFormat="1" ht="35.25" customHeight="1" x14ac:dyDescent="0.25">
      <c r="A131" s="76">
        <v>6</v>
      </c>
      <c r="B131" s="77"/>
      <c r="C131" s="78" t="s">
        <v>63</v>
      </c>
      <c r="D131" s="78" t="s">
        <v>65</v>
      </c>
      <c r="E131" s="79" t="s">
        <v>20</v>
      </c>
      <c r="F131" s="360" t="s">
        <v>274</v>
      </c>
      <c r="G131" s="361"/>
      <c r="H131" s="361"/>
      <c r="I131" s="361"/>
      <c r="J131" s="361"/>
      <c r="K131" s="361"/>
      <c r="L131" s="361"/>
      <c r="M131" s="361"/>
      <c r="N131" s="362"/>
      <c r="O131" s="81">
        <v>220</v>
      </c>
      <c r="P131" s="81">
        <v>220</v>
      </c>
      <c r="Q131" s="82"/>
      <c r="R131" s="81">
        <v>220</v>
      </c>
      <c r="S131" s="84"/>
      <c r="T131" s="81">
        <v>220</v>
      </c>
      <c r="U131" s="293"/>
      <c r="V131" s="81">
        <v>220</v>
      </c>
      <c r="W131" s="285"/>
    </row>
    <row r="132" spans="1:23" s="85" customFormat="1" ht="35.25" customHeight="1" x14ac:dyDescent="0.25">
      <c r="A132" s="76">
        <v>8</v>
      </c>
      <c r="B132" s="77"/>
      <c r="C132" s="78" t="s">
        <v>63</v>
      </c>
      <c r="D132" s="78" t="s">
        <v>66</v>
      </c>
      <c r="E132" s="79" t="s">
        <v>19</v>
      </c>
      <c r="F132" s="360" t="s">
        <v>279</v>
      </c>
      <c r="G132" s="361"/>
      <c r="H132" s="361"/>
      <c r="I132" s="361"/>
      <c r="J132" s="361"/>
      <c r="K132" s="361"/>
      <c r="L132" s="361"/>
      <c r="M132" s="361"/>
      <c r="N132" s="362"/>
      <c r="O132" s="81">
        <v>457</v>
      </c>
      <c r="P132" s="81">
        <v>457</v>
      </c>
      <c r="Q132" s="82"/>
      <c r="R132" s="81">
        <v>457</v>
      </c>
      <c r="S132" s="84"/>
      <c r="T132" s="81">
        <v>457</v>
      </c>
      <c r="U132" s="293"/>
      <c r="V132" s="81">
        <v>457</v>
      </c>
      <c r="W132" s="285"/>
    </row>
    <row r="133" spans="1:23" s="85" customFormat="1" ht="35.25" customHeight="1" x14ac:dyDescent="0.25">
      <c r="A133" s="76">
        <v>9</v>
      </c>
      <c r="B133" s="77"/>
      <c r="C133" s="78" t="s">
        <v>65</v>
      </c>
      <c r="D133" s="78" t="s">
        <v>66</v>
      </c>
      <c r="E133" s="79" t="s">
        <v>20</v>
      </c>
      <c r="F133" s="360" t="s">
        <v>291</v>
      </c>
      <c r="G133" s="361"/>
      <c r="H133" s="361"/>
      <c r="I133" s="361"/>
      <c r="J133" s="361"/>
      <c r="K133" s="361"/>
      <c r="L133" s="361"/>
      <c r="M133" s="361"/>
      <c r="N133" s="362"/>
      <c r="O133" s="81">
        <v>220</v>
      </c>
      <c r="P133" s="81">
        <v>220</v>
      </c>
      <c r="Q133" s="82"/>
      <c r="R133" s="81">
        <v>220</v>
      </c>
      <c r="S133" s="84"/>
      <c r="T133" s="81">
        <v>220</v>
      </c>
      <c r="U133" s="293"/>
      <c r="V133" s="81">
        <v>220</v>
      </c>
      <c r="W133" s="285"/>
    </row>
    <row r="134" spans="1:23" s="85" customFormat="1" ht="35.25" customHeight="1" x14ac:dyDescent="0.25">
      <c r="A134" s="269">
        <v>12</v>
      </c>
      <c r="B134" s="270"/>
      <c r="C134" s="271" t="s">
        <v>63</v>
      </c>
      <c r="D134" s="271" t="s">
        <v>66</v>
      </c>
      <c r="E134" s="272" t="s">
        <v>20</v>
      </c>
      <c r="F134" s="342" t="s">
        <v>292</v>
      </c>
      <c r="G134" s="343"/>
      <c r="H134" s="343"/>
      <c r="I134" s="343"/>
      <c r="J134" s="343"/>
      <c r="K134" s="343"/>
      <c r="L134" s="343"/>
      <c r="M134" s="343"/>
      <c r="N134" s="344"/>
      <c r="O134" s="274">
        <f>400+515+800</f>
        <v>1715</v>
      </c>
      <c r="P134" s="274">
        <f>400+515+800</f>
        <v>1715</v>
      </c>
      <c r="Q134" s="276"/>
      <c r="R134" s="274">
        <v>0</v>
      </c>
      <c r="S134" s="286" t="s">
        <v>471</v>
      </c>
      <c r="T134" s="274">
        <v>0</v>
      </c>
      <c r="U134" s="293"/>
      <c r="V134" s="274">
        <v>0</v>
      </c>
      <c r="W134" s="285"/>
    </row>
    <row r="135" spans="1:23" s="85" customFormat="1" ht="35.25" customHeight="1" x14ac:dyDescent="0.25">
      <c r="A135" s="76">
        <v>18</v>
      </c>
      <c r="B135" s="77"/>
      <c r="C135" s="78" t="s">
        <v>63</v>
      </c>
      <c r="D135" s="78" t="s">
        <v>66</v>
      </c>
      <c r="E135" s="79" t="s">
        <v>20</v>
      </c>
      <c r="F135" s="363" t="s">
        <v>510</v>
      </c>
      <c r="G135" s="364"/>
      <c r="H135" s="364"/>
      <c r="I135" s="364"/>
      <c r="J135" s="364"/>
      <c r="K135" s="364"/>
      <c r="L135" s="364"/>
      <c r="M135" s="364"/>
      <c r="N135" s="365"/>
      <c r="O135" s="81">
        <f>4*250</f>
        <v>1000</v>
      </c>
      <c r="P135" s="81">
        <f>4*250</f>
        <v>1000</v>
      </c>
      <c r="Q135" s="82"/>
      <c r="R135" s="81">
        <f>2*250</f>
        <v>500</v>
      </c>
      <c r="S135" s="84"/>
      <c r="T135" s="81">
        <f>2*250</f>
        <v>500</v>
      </c>
      <c r="U135" s="293"/>
      <c r="V135" s="81">
        <f>2*250</f>
        <v>500</v>
      </c>
      <c r="W135" s="285"/>
    </row>
    <row r="136" spans="1:23" s="85" customFormat="1" ht="45" customHeight="1" x14ac:dyDescent="0.25">
      <c r="A136" s="76">
        <v>19</v>
      </c>
      <c r="B136" s="77"/>
      <c r="C136" s="78" t="s">
        <v>64</v>
      </c>
      <c r="D136" s="78" t="s">
        <v>64</v>
      </c>
      <c r="E136" s="79" t="s">
        <v>20</v>
      </c>
      <c r="F136" s="363" t="s">
        <v>405</v>
      </c>
      <c r="G136" s="364"/>
      <c r="H136" s="364"/>
      <c r="I136" s="364"/>
      <c r="J136" s="364"/>
      <c r="K136" s="364"/>
      <c r="L136" s="364"/>
      <c r="M136" s="364"/>
      <c r="N136" s="365"/>
      <c r="O136" s="81">
        <f>3*190</f>
        <v>570</v>
      </c>
      <c r="P136" s="81">
        <f>3*190</f>
        <v>570</v>
      </c>
      <c r="Q136" s="82"/>
      <c r="R136" s="81">
        <f>3*190</f>
        <v>570</v>
      </c>
      <c r="S136" s="84"/>
      <c r="T136" s="81">
        <f>3*190</f>
        <v>570</v>
      </c>
      <c r="U136" s="293"/>
      <c r="V136" s="81">
        <f>3*190</f>
        <v>570</v>
      </c>
      <c r="W136" s="285"/>
    </row>
    <row r="137" spans="1:23" s="85" customFormat="1" ht="35.25" customHeight="1" x14ac:dyDescent="0.25">
      <c r="A137" s="76">
        <v>33</v>
      </c>
      <c r="B137" s="77"/>
      <c r="C137" s="78" t="s">
        <v>65</v>
      </c>
      <c r="D137" s="78" t="s">
        <v>66</v>
      </c>
      <c r="E137" s="79" t="s">
        <v>20</v>
      </c>
      <c r="F137" s="363" t="s">
        <v>424</v>
      </c>
      <c r="G137" s="364"/>
      <c r="H137" s="364"/>
      <c r="I137" s="364"/>
      <c r="J137" s="364"/>
      <c r="K137" s="364"/>
      <c r="L137" s="364"/>
      <c r="M137" s="364"/>
      <c r="N137" s="365"/>
      <c r="O137" s="81">
        <v>750</v>
      </c>
      <c r="P137" s="81">
        <v>750</v>
      </c>
      <c r="Q137" s="82"/>
      <c r="R137" s="81">
        <v>750</v>
      </c>
      <c r="S137" s="84"/>
      <c r="T137" s="81">
        <v>750</v>
      </c>
      <c r="U137" s="293"/>
      <c r="V137" s="81">
        <v>750</v>
      </c>
      <c r="W137" s="285"/>
    </row>
    <row r="138" spans="1:23" s="85" customFormat="1" ht="45" customHeight="1" x14ac:dyDescent="0.25">
      <c r="A138" s="269">
        <v>36</v>
      </c>
      <c r="B138" s="270"/>
      <c r="C138" s="271" t="s">
        <v>64</v>
      </c>
      <c r="D138" s="271" t="s">
        <v>66</v>
      </c>
      <c r="E138" s="272" t="s">
        <v>20</v>
      </c>
      <c r="F138" s="342" t="s">
        <v>472</v>
      </c>
      <c r="G138" s="343"/>
      <c r="H138" s="343"/>
      <c r="I138" s="343"/>
      <c r="J138" s="343"/>
      <c r="K138" s="343"/>
      <c r="L138" s="343"/>
      <c r="M138" s="343"/>
      <c r="N138" s="344"/>
      <c r="O138" s="274"/>
      <c r="P138" s="274">
        <v>495</v>
      </c>
      <c r="Q138" s="82" t="s">
        <v>455</v>
      </c>
      <c r="R138" s="274">
        <v>495</v>
      </c>
      <c r="S138" s="84"/>
      <c r="T138" s="274">
        <v>495</v>
      </c>
      <c r="U138" s="293"/>
      <c r="V138" s="274">
        <v>495</v>
      </c>
      <c r="W138" s="285"/>
    </row>
    <row r="139" spans="1:23" s="85" customFormat="1" ht="35.25" customHeight="1" x14ac:dyDescent="0.25">
      <c r="A139" s="253">
        <v>22</v>
      </c>
      <c r="B139" s="254"/>
      <c r="C139" s="78" t="s">
        <v>64</v>
      </c>
      <c r="D139" s="78" t="s">
        <v>66</v>
      </c>
      <c r="E139" s="79" t="s">
        <v>20</v>
      </c>
      <c r="F139" s="363" t="s">
        <v>329</v>
      </c>
      <c r="G139" s="364"/>
      <c r="H139" s="364"/>
      <c r="I139" s="364"/>
      <c r="J139" s="364"/>
      <c r="K139" s="364"/>
      <c r="L139" s="364"/>
      <c r="M139" s="364"/>
      <c r="N139" s="365"/>
      <c r="O139" s="81">
        <v>699</v>
      </c>
      <c r="P139" s="81">
        <v>699</v>
      </c>
      <c r="Q139" s="82"/>
      <c r="R139" s="81">
        <v>699</v>
      </c>
      <c r="S139" s="84"/>
      <c r="T139" s="81">
        <v>699</v>
      </c>
      <c r="U139" s="293"/>
      <c r="V139" s="81">
        <v>699</v>
      </c>
      <c r="W139" s="285"/>
    </row>
    <row r="140" spans="1:23" s="85" customFormat="1" ht="35.25" customHeight="1" x14ac:dyDescent="0.25">
      <c r="A140" s="255">
        <v>23</v>
      </c>
      <c r="B140" s="256"/>
      <c r="C140" s="78" t="s">
        <v>65</v>
      </c>
      <c r="D140" s="78" t="s">
        <v>66</v>
      </c>
      <c r="E140" s="79" t="s">
        <v>20</v>
      </c>
      <c r="F140" s="363" t="s">
        <v>330</v>
      </c>
      <c r="G140" s="364"/>
      <c r="H140" s="364"/>
      <c r="I140" s="364"/>
      <c r="J140" s="364"/>
      <c r="K140" s="364"/>
      <c r="L140" s="364"/>
      <c r="M140" s="364"/>
      <c r="N140" s="365"/>
      <c r="O140" s="81">
        <v>900</v>
      </c>
      <c r="P140" s="81">
        <v>900</v>
      </c>
      <c r="Q140" s="82"/>
      <c r="R140" s="81">
        <v>900</v>
      </c>
      <c r="S140" s="257"/>
      <c r="T140" s="81">
        <v>900</v>
      </c>
      <c r="U140" s="293"/>
      <c r="V140" s="81">
        <v>900</v>
      </c>
      <c r="W140" s="285"/>
    </row>
    <row r="141" spans="1:23" s="85" customFormat="1" ht="45" customHeight="1" x14ac:dyDescent="0.25">
      <c r="A141" s="269">
        <v>24</v>
      </c>
      <c r="B141" s="270"/>
      <c r="C141" s="271" t="s">
        <v>63</v>
      </c>
      <c r="D141" s="271" t="s">
        <v>66</v>
      </c>
      <c r="E141" s="272" t="s">
        <v>20</v>
      </c>
      <c r="F141" s="342" t="s">
        <v>460</v>
      </c>
      <c r="G141" s="343"/>
      <c r="H141" s="343"/>
      <c r="I141" s="343"/>
      <c r="J141" s="343"/>
      <c r="K141" s="343"/>
      <c r="L141" s="343"/>
      <c r="M141" s="343"/>
      <c r="N141" s="344"/>
      <c r="O141" s="289">
        <v>2175</v>
      </c>
      <c r="P141" s="274">
        <f>4*435</f>
        <v>1740</v>
      </c>
      <c r="Q141" s="290" t="s">
        <v>543</v>
      </c>
      <c r="R141" s="274">
        <f>3*435</f>
        <v>1305</v>
      </c>
      <c r="S141" s="285"/>
      <c r="T141" s="274">
        <f>3*435</f>
        <v>1305</v>
      </c>
      <c r="U141" s="293"/>
      <c r="V141" s="274">
        <f>3*435</f>
        <v>1305</v>
      </c>
      <c r="W141" s="285"/>
    </row>
    <row r="142" spans="1:23" s="85" customFormat="1" ht="35.25" customHeight="1" x14ac:dyDescent="0.25">
      <c r="A142" s="255">
        <v>25</v>
      </c>
      <c r="B142" s="256"/>
      <c r="C142" s="78" t="s">
        <v>66</v>
      </c>
      <c r="D142" s="78" t="s">
        <v>66</v>
      </c>
      <c r="E142" s="79" t="s">
        <v>20</v>
      </c>
      <c r="F142" s="363" t="s">
        <v>332</v>
      </c>
      <c r="G142" s="364"/>
      <c r="H142" s="364"/>
      <c r="I142" s="364"/>
      <c r="J142" s="364"/>
      <c r="K142" s="364"/>
      <c r="L142" s="364"/>
      <c r="M142" s="364"/>
      <c r="N142" s="365"/>
      <c r="O142" s="81">
        <v>975</v>
      </c>
      <c r="P142" s="81">
        <v>975</v>
      </c>
      <c r="Q142" s="82"/>
      <c r="R142" s="81">
        <v>975</v>
      </c>
      <c r="T142" s="81">
        <v>975</v>
      </c>
      <c r="U142" s="293"/>
      <c r="V142" s="81">
        <v>975</v>
      </c>
      <c r="W142" s="285"/>
    </row>
    <row r="143" spans="1:23" s="85" customFormat="1" ht="35.25" customHeight="1" x14ac:dyDescent="0.25">
      <c r="A143" s="255">
        <v>26</v>
      </c>
      <c r="B143" s="256"/>
      <c r="C143" s="78" t="s">
        <v>63</v>
      </c>
      <c r="D143" s="78" t="s">
        <v>66</v>
      </c>
      <c r="E143" s="79" t="s">
        <v>21</v>
      </c>
      <c r="F143" s="363" t="s">
        <v>434</v>
      </c>
      <c r="G143" s="364"/>
      <c r="H143" s="364"/>
      <c r="I143" s="364"/>
      <c r="J143" s="364"/>
      <c r="K143" s="364"/>
      <c r="L143" s="364"/>
      <c r="M143" s="364"/>
      <c r="N143" s="365"/>
      <c r="O143" s="81">
        <v>100</v>
      </c>
      <c r="P143" s="81">
        <v>100</v>
      </c>
      <c r="Q143" s="82"/>
      <c r="R143" s="81">
        <v>100</v>
      </c>
      <c r="S143" s="257"/>
      <c r="T143" s="81">
        <v>0</v>
      </c>
      <c r="U143" s="293"/>
      <c r="V143" s="81">
        <v>0</v>
      </c>
      <c r="W143" s="285"/>
    </row>
    <row r="144" spans="1:23" s="85" customFormat="1" ht="35.25" customHeight="1" x14ac:dyDescent="0.25">
      <c r="A144" s="255">
        <v>29</v>
      </c>
      <c r="B144" s="256"/>
      <c r="C144" s="78" t="s">
        <v>66</v>
      </c>
      <c r="D144" s="78" t="s">
        <v>66</v>
      </c>
      <c r="E144" s="79" t="s">
        <v>20</v>
      </c>
      <c r="F144" s="363" t="s">
        <v>344</v>
      </c>
      <c r="G144" s="364"/>
      <c r="H144" s="364"/>
      <c r="I144" s="364"/>
      <c r="J144" s="364"/>
      <c r="K144" s="364"/>
      <c r="L144" s="364"/>
      <c r="M144" s="364"/>
      <c r="N144" s="365"/>
      <c r="O144" s="81">
        <v>700</v>
      </c>
      <c r="P144" s="81">
        <v>700</v>
      </c>
      <c r="Q144" s="82"/>
      <c r="R144" s="81">
        <v>700</v>
      </c>
      <c r="S144" s="257"/>
      <c r="T144" s="81">
        <v>700</v>
      </c>
      <c r="U144" s="293"/>
      <c r="V144" s="81">
        <v>700</v>
      </c>
      <c r="W144" s="285"/>
    </row>
    <row r="145" spans="1:23" s="85" customFormat="1" ht="35.25" customHeight="1" x14ac:dyDescent="0.25">
      <c r="A145" s="255">
        <v>30</v>
      </c>
      <c r="B145" s="256"/>
      <c r="C145" s="78" t="s">
        <v>66</v>
      </c>
      <c r="D145" s="78" t="s">
        <v>66</v>
      </c>
      <c r="E145" s="79" t="s">
        <v>21</v>
      </c>
      <c r="F145" s="363" t="s">
        <v>354</v>
      </c>
      <c r="G145" s="364"/>
      <c r="H145" s="364"/>
      <c r="I145" s="364"/>
      <c r="J145" s="364"/>
      <c r="K145" s="364"/>
      <c r="L145" s="364"/>
      <c r="M145" s="364"/>
      <c r="N145" s="365"/>
      <c r="O145" s="81">
        <v>250</v>
      </c>
      <c r="P145" s="81">
        <v>250</v>
      </c>
      <c r="Q145" s="82"/>
      <c r="R145" s="81">
        <v>250</v>
      </c>
      <c r="S145" s="257"/>
      <c r="T145" s="81">
        <v>250</v>
      </c>
      <c r="U145" s="293"/>
      <c r="V145" s="81">
        <v>250</v>
      </c>
      <c r="W145" s="285"/>
    </row>
    <row r="146" spans="1:23" s="85" customFormat="1" ht="45" customHeight="1" x14ac:dyDescent="0.25">
      <c r="A146" s="269">
        <v>31</v>
      </c>
      <c r="B146" s="270"/>
      <c r="C146" s="271" t="s">
        <v>63</v>
      </c>
      <c r="D146" s="271" t="s">
        <v>63</v>
      </c>
      <c r="E146" s="272" t="s">
        <v>20</v>
      </c>
      <c r="F146" s="342" t="s">
        <v>518</v>
      </c>
      <c r="G146" s="343"/>
      <c r="H146" s="343"/>
      <c r="I146" s="343"/>
      <c r="J146" s="343"/>
      <c r="K146" s="343"/>
      <c r="L146" s="343"/>
      <c r="M146" s="343"/>
      <c r="N146" s="344"/>
      <c r="O146" s="274">
        <v>1400</v>
      </c>
      <c r="P146" s="273">
        <v>1400</v>
      </c>
      <c r="Q146" s="276"/>
      <c r="R146" s="274">
        <f>3*700</f>
        <v>2100</v>
      </c>
      <c r="S146" s="286" t="s">
        <v>461</v>
      </c>
      <c r="T146" s="274">
        <f>3*700</f>
        <v>2100</v>
      </c>
      <c r="U146" s="293"/>
      <c r="V146" s="274">
        <f>3*700</f>
        <v>2100</v>
      </c>
      <c r="W146" s="285"/>
    </row>
    <row r="147" spans="1:23" s="85" customFormat="1" ht="45" customHeight="1" x14ac:dyDescent="0.25">
      <c r="A147" s="269">
        <v>34</v>
      </c>
      <c r="B147" s="270"/>
      <c r="C147" s="271" t="s">
        <v>65</v>
      </c>
      <c r="D147" s="271" t="s">
        <v>66</v>
      </c>
      <c r="E147" s="272" t="s">
        <v>20</v>
      </c>
      <c r="F147" s="342" t="s">
        <v>430</v>
      </c>
      <c r="G147" s="343"/>
      <c r="H147" s="343"/>
      <c r="I147" s="343"/>
      <c r="J147" s="343"/>
      <c r="K147" s="343"/>
      <c r="L147" s="343"/>
      <c r="M147" s="343"/>
      <c r="N147" s="344"/>
      <c r="O147" s="274">
        <v>900</v>
      </c>
      <c r="P147" s="274">
        <v>900</v>
      </c>
      <c r="Q147" s="276"/>
      <c r="R147" s="274">
        <v>900</v>
      </c>
      <c r="S147" s="286"/>
      <c r="T147" s="274">
        <v>900</v>
      </c>
      <c r="U147" s="293"/>
      <c r="V147" s="274">
        <v>900</v>
      </c>
      <c r="W147" s="285"/>
    </row>
    <row r="148" spans="1:23" s="85" customFormat="1" ht="35.25" customHeight="1" x14ac:dyDescent="0.25">
      <c r="A148" s="271">
        <v>37</v>
      </c>
      <c r="B148" s="280"/>
      <c r="C148" s="271" t="s">
        <v>64</v>
      </c>
      <c r="D148" s="271" t="s">
        <v>66</v>
      </c>
      <c r="E148" s="280" t="s">
        <v>20</v>
      </c>
      <c r="F148" s="370" t="s">
        <v>520</v>
      </c>
      <c r="G148" s="370"/>
      <c r="H148" s="370"/>
      <c r="I148" s="370"/>
      <c r="J148" s="370"/>
      <c r="K148" s="370"/>
      <c r="L148" s="370"/>
      <c r="M148" s="370"/>
      <c r="N148" s="370"/>
      <c r="O148" s="280"/>
      <c r="P148" s="280"/>
      <c r="Q148" s="276"/>
      <c r="R148" s="274">
        <v>780</v>
      </c>
      <c r="S148" s="286" t="s">
        <v>542</v>
      </c>
      <c r="T148" s="274">
        <v>780</v>
      </c>
      <c r="U148" s="293"/>
      <c r="V148" s="274">
        <v>780</v>
      </c>
      <c r="W148" s="285"/>
    </row>
    <row r="149" spans="1:23" s="85" customFormat="1" ht="35.25" customHeight="1" x14ac:dyDescent="0.25">
      <c r="A149" s="271">
        <v>38</v>
      </c>
      <c r="B149" s="280"/>
      <c r="C149" s="271" t="s">
        <v>64</v>
      </c>
      <c r="D149" s="271" t="s">
        <v>64</v>
      </c>
      <c r="E149" s="281" t="s">
        <v>19</v>
      </c>
      <c r="F149" s="342" t="s">
        <v>538</v>
      </c>
      <c r="G149" s="343"/>
      <c r="H149" s="343"/>
      <c r="I149" s="343"/>
      <c r="J149" s="343"/>
      <c r="K149" s="343"/>
      <c r="L149" s="343"/>
      <c r="M149" s="343"/>
      <c r="N149" s="344"/>
      <c r="O149" s="280"/>
      <c r="P149" s="280"/>
      <c r="Q149" s="276"/>
      <c r="R149" s="274">
        <v>1200</v>
      </c>
      <c r="S149" s="286" t="s">
        <v>542</v>
      </c>
      <c r="T149" s="274">
        <v>1200</v>
      </c>
      <c r="U149" s="296"/>
      <c r="V149" s="274">
        <v>1200</v>
      </c>
      <c r="W149" s="285"/>
    </row>
    <row r="150" spans="1:23" s="85" customFormat="1" ht="35.25" customHeight="1" x14ac:dyDescent="0.25">
      <c r="A150" s="271">
        <v>40</v>
      </c>
      <c r="B150" s="280"/>
      <c r="C150" s="271" t="s">
        <v>66</v>
      </c>
      <c r="D150" s="271" t="s">
        <v>66</v>
      </c>
      <c r="E150" s="281" t="s">
        <v>20</v>
      </c>
      <c r="F150" s="370" t="s">
        <v>487</v>
      </c>
      <c r="G150" s="370"/>
      <c r="H150" s="370"/>
      <c r="I150" s="370"/>
      <c r="J150" s="370"/>
      <c r="K150" s="370"/>
      <c r="L150" s="370"/>
      <c r="M150" s="370"/>
      <c r="N150" s="370"/>
      <c r="O150" s="280"/>
      <c r="P150" s="280"/>
      <c r="Q150" s="276"/>
      <c r="R150" s="274">
        <v>900</v>
      </c>
      <c r="S150" s="286" t="s">
        <v>542</v>
      </c>
      <c r="T150" s="274">
        <v>900</v>
      </c>
      <c r="U150" s="296"/>
      <c r="V150" s="274">
        <v>900</v>
      </c>
      <c r="W150" s="285"/>
    </row>
    <row r="151" spans="1:23" s="85" customFormat="1" ht="45" customHeight="1" x14ac:dyDescent="0.25">
      <c r="A151" s="271">
        <v>46</v>
      </c>
      <c r="B151" s="280"/>
      <c r="C151" s="271" t="s">
        <v>64</v>
      </c>
      <c r="D151" s="271" t="s">
        <v>64</v>
      </c>
      <c r="E151" s="281" t="s">
        <v>20</v>
      </c>
      <c r="F151" s="370" t="s">
        <v>537</v>
      </c>
      <c r="G151" s="370"/>
      <c r="H151" s="370"/>
      <c r="I151" s="370"/>
      <c r="J151" s="370"/>
      <c r="K151" s="370"/>
      <c r="L151" s="370"/>
      <c r="M151" s="370"/>
      <c r="N151" s="370"/>
      <c r="O151" s="280"/>
      <c r="P151" s="280"/>
      <c r="Q151" s="276"/>
      <c r="R151" s="274">
        <f>3*500</f>
        <v>1500</v>
      </c>
      <c r="S151" s="277"/>
      <c r="T151" s="274">
        <f>3*500</f>
        <v>1500</v>
      </c>
      <c r="U151" s="297"/>
      <c r="V151" s="274">
        <f>3*500</f>
        <v>1500</v>
      </c>
      <c r="W151" s="285"/>
    </row>
    <row r="152" spans="1:23" s="85" customFormat="1" ht="75" customHeight="1" x14ac:dyDescent="0.25">
      <c r="A152" s="271">
        <v>47</v>
      </c>
      <c r="B152" s="280"/>
      <c r="C152" s="271" t="s">
        <v>64</v>
      </c>
      <c r="D152" s="271" t="s">
        <v>66</v>
      </c>
      <c r="E152" s="281" t="s">
        <v>20</v>
      </c>
      <c r="F152" s="370" t="s">
        <v>558</v>
      </c>
      <c r="G152" s="370"/>
      <c r="H152" s="370"/>
      <c r="I152" s="370"/>
      <c r="J152" s="370"/>
      <c r="K152" s="370"/>
      <c r="L152" s="370"/>
      <c r="M152" s="370"/>
      <c r="N152" s="370"/>
      <c r="O152" s="280"/>
      <c r="P152" s="280"/>
      <c r="Q152" s="276"/>
      <c r="R152" s="274"/>
      <c r="S152" s="298"/>
      <c r="T152" s="274"/>
      <c r="U152" s="298"/>
      <c r="V152" s="299">
        <v>240</v>
      </c>
      <c r="W152" s="300" t="s">
        <v>565</v>
      </c>
    </row>
    <row r="153" spans="1:23" s="85" customFormat="1" ht="75" customHeight="1" x14ac:dyDescent="0.25">
      <c r="A153" s="285">
        <v>48</v>
      </c>
      <c r="B153" s="285"/>
      <c r="C153" s="271" t="s">
        <v>64</v>
      </c>
      <c r="D153" s="271" t="s">
        <v>66</v>
      </c>
      <c r="E153" s="281" t="s">
        <v>20</v>
      </c>
      <c r="F153" s="370" t="s">
        <v>563</v>
      </c>
      <c r="G153" s="376"/>
      <c r="H153" s="376"/>
      <c r="I153" s="376"/>
      <c r="J153" s="376"/>
      <c r="K153" s="376"/>
      <c r="L153" s="376"/>
      <c r="M153" s="376"/>
      <c r="N153" s="376"/>
      <c r="O153" s="280"/>
      <c r="P153" s="280"/>
      <c r="Q153" s="280"/>
      <c r="R153" s="280"/>
      <c r="S153" s="280"/>
      <c r="T153" s="280"/>
      <c r="U153" s="298"/>
      <c r="V153" s="299">
        <v>250</v>
      </c>
      <c r="W153" s="300" t="s">
        <v>565</v>
      </c>
    </row>
    <row r="154" spans="1:23" s="1" customFormat="1" x14ac:dyDescent="0.25">
      <c r="L154" s="62" t="s">
        <v>135</v>
      </c>
      <c r="M154" s="279"/>
      <c r="N154" s="279"/>
      <c r="O154" s="34">
        <f>SUM(O130:O149)</f>
        <v>18981</v>
      </c>
      <c r="P154" s="34">
        <f>SUM(P130:P147)</f>
        <v>19041</v>
      </c>
      <c r="Q154" s="34"/>
      <c r="R154" s="34">
        <f>SUM(R130:R152)</f>
        <v>21471</v>
      </c>
      <c r="S154" s="34"/>
      <c r="T154" s="166">
        <f>SUM(T130:T152)</f>
        <v>21371</v>
      </c>
      <c r="U154" s="34"/>
      <c r="V154" s="166">
        <f>SUM(V130:V153)</f>
        <v>21861</v>
      </c>
    </row>
    <row r="155" spans="1:23" s="1" customFormat="1" x14ac:dyDescent="0.25">
      <c r="N155" s="37"/>
      <c r="O155" s="34"/>
      <c r="P155" s="34"/>
      <c r="Q155" s="26"/>
      <c r="R155" s="34"/>
      <c r="S155" s="26"/>
      <c r="T155" s="35"/>
      <c r="U155" s="26"/>
    </row>
    <row r="156" spans="1:23" s="1" customFormat="1" x14ac:dyDescent="0.25">
      <c r="L156" s="1" t="s">
        <v>206</v>
      </c>
      <c r="N156" s="37"/>
      <c r="O156" s="34">
        <f>SUM(O126,O100,O154,O85,O66)</f>
        <v>115115.93799999999</v>
      </c>
      <c r="P156" s="34">
        <f>SUM(P126,P100,P154,P85,P66)</f>
        <v>116161.93799999999</v>
      </c>
      <c r="Q156" s="34"/>
      <c r="R156" s="34">
        <f>SUM(R126,R100,R154,R85,R66)</f>
        <v>158079.37799999997</v>
      </c>
      <c r="S156" s="34"/>
      <c r="T156" s="34">
        <f>SUM(T126,T100,T154,T85,T66)</f>
        <v>160935.378</v>
      </c>
      <c r="U156" s="292"/>
      <c r="V156" s="34">
        <f>SUM(V126,V100,V154,V85,V66)</f>
        <v>169476.378</v>
      </c>
    </row>
    <row r="157" spans="1:23" s="1" customFormat="1" ht="15.75" thickBot="1" x14ac:dyDescent="0.3">
      <c r="N157" s="37"/>
      <c r="O157" s="34"/>
      <c r="P157" s="34"/>
      <c r="Q157" s="26"/>
      <c r="R157" s="34"/>
      <c r="S157" s="26"/>
      <c r="T157" s="35"/>
      <c r="U157" s="26"/>
    </row>
    <row r="158" spans="1:23" s="1" customFormat="1" ht="21.75" thickBot="1" x14ac:dyDescent="0.4">
      <c r="E158" s="345" t="s">
        <v>138</v>
      </c>
      <c r="F158" s="346"/>
      <c r="G158" s="346"/>
      <c r="H158" s="346"/>
      <c r="I158" s="346"/>
      <c r="J158" s="346"/>
      <c r="K158" s="346"/>
      <c r="L158" s="346"/>
      <c r="M158" s="346"/>
      <c r="N158" s="347"/>
      <c r="O158" s="44">
        <f>SUM(O126,O100,O154,O85,O66,O54)</f>
        <v>210273.11549999999</v>
      </c>
      <c r="P158" s="44">
        <f>SUM(P126,P100,P154,P85,P66,P54)</f>
        <v>211319.11549999999</v>
      </c>
      <c r="Q158" s="34"/>
      <c r="R158" s="44">
        <f>SUM(R126,R100,R154,R85,R66,R54)</f>
        <v>222783.64549999998</v>
      </c>
      <c r="S158" s="34"/>
      <c r="T158" s="168">
        <f>SUM(T126,T100,T154,T85,T66,T54)</f>
        <v>222783.64549999998</v>
      </c>
      <c r="U158" s="34">
        <f>R158-T158</f>
        <v>0</v>
      </c>
      <c r="V158" s="168">
        <f>SUM(V126,V100,V154,V85,V66,V54)</f>
        <v>231324.24550000002</v>
      </c>
    </row>
    <row r="159" spans="1:23" s="41" customFormat="1" ht="15.75" customHeight="1" x14ac:dyDescent="0.35">
      <c r="G159" s="42"/>
      <c r="H159" s="42"/>
      <c r="I159" s="42"/>
      <c r="J159" s="42"/>
      <c r="K159" s="42"/>
      <c r="L159" s="42"/>
      <c r="M159" s="42"/>
      <c r="N159" s="42"/>
      <c r="O159" s="43"/>
      <c r="P159" s="43"/>
      <c r="Q159" s="43"/>
      <c r="R159" s="43"/>
      <c r="S159" s="43"/>
      <c r="T159" s="75"/>
      <c r="U159" s="43"/>
    </row>
    <row r="161" spans="1:23" s="118" customFormat="1" ht="37.5" customHeight="1" x14ac:dyDescent="0.25">
      <c r="A161" s="152" t="s">
        <v>36</v>
      </c>
      <c r="B161" s="153"/>
      <c r="C161" s="153"/>
      <c r="D161" s="154"/>
      <c r="E161" s="155"/>
      <c r="F161" s="155"/>
      <c r="G161" s="155"/>
      <c r="H161" s="155"/>
      <c r="I161" s="155"/>
      <c r="J161" s="155"/>
      <c r="K161" s="155"/>
      <c r="L161" s="155"/>
      <c r="M161" s="155"/>
      <c r="N161" s="156"/>
      <c r="O161" s="157" t="s">
        <v>123</v>
      </c>
      <c r="P161" s="157" t="s">
        <v>38</v>
      </c>
      <c r="Q161" s="158" t="s">
        <v>124</v>
      </c>
      <c r="R161" s="157" t="s">
        <v>39</v>
      </c>
      <c r="S161" s="158" t="s">
        <v>124</v>
      </c>
      <c r="T161" s="157" t="s">
        <v>40</v>
      </c>
      <c r="U161" s="158" t="s">
        <v>124</v>
      </c>
      <c r="V161" s="157" t="s">
        <v>552</v>
      </c>
      <c r="W161" s="158" t="s">
        <v>124</v>
      </c>
    </row>
    <row r="162" spans="1:23" x14ac:dyDescent="0.25">
      <c r="A162" s="61" t="s">
        <v>114</v>
      </c>
      <c r="B162" s="62"/>
      <c r="C162" s="27" t="s">
        <v>109</v>
      </c>
      <c r="D162" s="27" t="s">
        <v>108</v>
      </c>
      <c r="E162" s="65" t="s">
        <v>33</v>
      </c>
      <c r="F162" s="50" t="s">
        <v>34</v>
      </c>
      <c r="G162" s="50"/>
      <c r="H162" s="50"/>
      <c r="I162" s="50"/>
      <c r="J162" s="50"/>
      <c r="K162" s="50"/>
      <c r="L162" s="50"/>
      <c r="M162" s="50"/>
      <c r="N162" s="50"/>
      <c r="O162" s="23" t="s">
        <v>35</v>
      </c>
      <c r="P162" s="23" t="s">
        <v>35</v>
      </c>
      <c r="Q162" s="30"/>
      <c r="R162" s="23" t="s">
        <v>35</v>
      </c>
      <c r="S162" s="31"/>
      <c r="T162" s="7" t="s">
        <v>35</v>
      </c>
      <c r="U162" s="31"/>
      <c r="V162" s="6"/>
      <c r="W162" s="6"/>
    </row>
    <row r="163" spans="1:23" s="85" customFormat="1" ht="37.5" customHeight="1" x14ac:dyDescent="0.25">
      <c r="A163" s="76">
        <v>11</v>
      </c>
      <c r="B163" s="77"/>
      <c r="C163" s="78" t="s">
        <v>63</v>
      </c>
      <c r="D163" s="78" t="s">
        <v>66</v>
      </c>
      <c r="E163" s="87" t="s">
        <v>68</v>
      </c>
      <c r="F163" s="363" t="s">
        <v>287</v>
      </c>
      <c r="G163" s="364"/>
      <c r="H163" s="364"/>
      <c r="I163" s="364"/>
      <c r="J163" s="364"/>
      <c r="K163" s="364"/>
      <c r="L163" s="364"/>
      <c r="M163" s="364"/>
      <c r="N163" s="365"/>
      <c r="O163" s="81">
        <v>68766</v>
      </c>
      <c r="P163" s="81">
        <v>67667.7</v>
      </c>
      <c r="Q163" s="82"/>
      <c r="R163" s="81">
        <v>62621.49</v>
      </c>
      <c r="S163" s="84"/>
      <c r="T163" s="81">
        <v>62621.49</v>
      </c>
      <c r="U163" s="84"/>
      <c r="V163" s="301">
        <f>56370.84+902.65</f>
        <v>57273.49</v>
      </c>
      <c r="W163" s="299" t="s">
        <v>507</v>
      </c>
    </row>
    <row r="164" spans="1:23" s="85" customFormat="1" ht="37.5" customHeight="1" x14ac:dyDescent="0.25">
      <c r="A164" s="269">
        <v>13</v>
      </c>
      <c r="B164" s="270"/>
      <c r="C164" s="271" t="s">
        <v>63</v>
      </c>
      <c r="D164" s="271" t="s">
        <v>66</v>
      </c>
      <c r="E164" s="275" t="s">
        <v>68</v>
      </c>
      <c r="F164" s="342" t="s">
        <v>290</v>
      </c>
      <c r="G164" s="343"/>
      <c r="H164" s="343"/>
      <c r="I164" s="343"/>
      <c r="J164" s="343"/>
      <c r="K164" s="343"/>
      <c r="L164" s="343"/>
      <c r="M164" s="343"/>
      <c r="N164" s="344"/>
      <c r="O164" s="274">
        <v>6417.87</v>
      </c>
      <c r="P164" s="274">
        <v>6417.87</v>
      </c>
      <c r="Q164" s="276"/>
      <c r="R164" s="274">
        <v>0</v>
      </c>
      <c r="S164" s="291" t="s">
        <v>508</v>
      </c>
      <c r="T164" s="274">
        <v>0</v>
      </c>
      <c r="U164" s="97"/>
      <c r="V164" s="274">
        <v>0</v>
      </c>
      <c r="W164" s="285"/>
    </row>
    <row r="165" spans="1:23" s="85" customFormat="1" ht="37.5" customHeight="1" x14ac:dyDescent="0.25">
      <c r="A165" s="76">
        <v>14</v>
      </c>
      <c r="B165" s="77"/>
      <c r="C165" s="78" t="s">
        <v>63</v>
      </c>
      <c r="D165" s="78" t="s">
        <v>66</v>
      </c>
      <c r="E165" s="87" t="s">
        <v>68</v>
      </c>
      <c r="F165" s="363" t="s">
        <v>296</v>
      </c>
      <c r="G165" s="364"/>
      <c r="H165" s="364"/>
      <c r="I165" s="364"/>
      <c r="J165" s="364"/>
      <c r="K165" s="364"/>
      <c r="L165" s="364"/>
      <c r="M165" s="364"/>
      <c r="N165" s="365"/>
      <c r="O165" s="81">
        <v>10237.879999999999</v>
      </c>
      <c r="P165" s="81">
        <v>10237.879999999999</v>
      </c>
      <c r="Q165" s="82"/>
      <c r="R165" s="81">
        <v>9314</v>
      </c>
      <c r="S165" s="84"/>
      <c r="T165" s="81">
        <v>9314</v>
      </c>
      <c r="U165" s="84"/>
      <c r="V165" s="81">
        <v>9314</v>
      </c>
      <c r="W165" s="285"/>
    </row>
    <row r="166" spans="1:23" s="85" customFormat="1" ht="37.5" customHeight="1" x14ac:dyDescent="0.25">
      <c r="A166" s="76">
        <v>17</v>
      </c>
      <c r="B166" s="77"/>
      <c r="C166" s="78" t="s">
        <v>63</v>
      </c>
      <c r="D166" s="78" t="s">
        <v>66</v>
      </c>
      <c r="E166" s="87" t="s">
        <v>68</v>
      </c>
      <c r="F166" s="363" t="s">
        <v>304</v>
      </c>
      <c r="G166" s="364"/>
      <c r="H166" s="364"/>
      <c r="I166" s="364"/>
      <c r="J166" s="364"/>
      <c r="K166" s="364"/>
      <c r="L166" s="364"/>
      <c r="M166" s="364"/>
      <c r="N166" s="365"/>
      <c r="O166" s="81">
        <f>5660+1000</f>
        <v>6660</v>
      </c>
      <c r="P166" s="81">
        <f>5660+1000</f>
        <v>6660</v>
      </c>
      <c r="Q166" s="82"/>
      <c r="R166" s="81">
        <f>5660+1000</f>
        <v>6660</v>
      </c>
      <c r="S166" s="84"/>
      <c r="T166" s="81">
        <f>5660+1000</f>
        <v>6660</v>
      </c>
      <c r="U166" s="84"/>
      <c r="V166" s="81">
        <f>5660+1000</f>
        <v>6660</v>
      </c>
      <c r="W166" s="285"/>
    </row>
    <row r="167" spans="1:23" s="85" customFormat="1" ht="37.5" customHeight="1" x14ac:dyDescent="0.25">
      <c r="A167" s="76">
        <v>28</v>
      </c>
      <c r="B167" s="77"/>
      <c r="C167" s="78" t="s">
        <v>63</v>
      </c>
      <c r="D167" s="78" t="s">
        <v>66</v>
      </c>
      <c r="E167" s="87" t="s">
        <v>68</v>
      </c>
      <c r="F167" s="363" t="s">
        <v>440</v>
      </c>
      <c r="G167" s="364"/>
      <c r="H167" s="364"/>
      <c r="I167" s="364"/>
      <c r="J167" s="364"/>
      <c r="K167" s="364"/>
      <c r="L167" s="364"/>
      <c r="M167" s="364"/>
      <c r="N167" s="365"/>
      <c r="O167" s="81">
        <v>14611.84</v>
      </c>
      <c r="P167" s="81">
        <v>14611.84</v>
      </c>
      <c r="Q167" s="82"/>
      <c r="R167" s="81">
        <v>14962</v>
      </c>
      <c r="S167" s="84"/>
      <c r="T167" s="81">
        <v>14962</v>
      </c>
      <c r="U167" s="84"/>
      <c r="V167" s="301">
        <v>12245.06</v>
      </c>
      <c r="W167" s="299" t="s">
        <v>507</v>
      </c>
    </row>
    <row r="168" spans="1:23" s="85" customFormat="1" ht="37.5" customHeight="1" x14ac:dyDescent="0.25">
      <c r="A168" s="76"/>
      <c r="B168" s="77"/>
      <c r="C168" s="78"/>
      <c r="D168" s="78"/>
      <c r="E168" s="87" t="s">
        <v>68</v>
      </c>
      <c r="F168" s="363"/>
      <c r="G168" s="364"/>
      <c r="H168" s="364"/>
      <c r="I168" s="364"/>
      <c r="J168" s="364"/>
      <c r="K168" s="364"/>
      <c r="L168" s="364"/>
      <c r="M168" s="364"/>
      <c r="N168" s="365"/>
      <c r="O168" s="81"/>
      <c r="P168" s="81"/>
      <c r="Q168" s="82"/>
      <c r="R168" s="81"/>
      <c r="S168" s="84"/>
      <c r="T168" s="83"/>
      <c r="U168" s="84"/>
      <c r="V168" s="285"/>
      <c r="W168" s="285"/>
    </row>
    <row r="169" spans="1:23" s="85" customFormat="1" ht="37.5" customHeight="1" x14ac:dyDescent="0.25">
      <c r="A169" s="76"/>
      <c r="B169" s="77"/>
      <c r="C169" s="78"/>
      <c r="D169" s="78"/>
      <c r="E169" s="87" t="s">
        <v>68</v>
      </c>
      <c r="F169" s="363"/>
      <c r="G169" s="364"/>
      <c r="H169" s="364"/>
      <c r="I169" s="364"/>
      <c r="J169" s="364"/>
      <c r="K169" s="364"/>
      <c r="L169" s="364"/>
      <c r="M169" s="364"/>
      <c r="N169" s="365"/>
      <c r="O169" s="81"/>
      <c r="P169" s="81"/>
      <c r="Q169" s="82"/>
      <c r="R169" s="81"/>
      <c r="S169" s="84"/>
      <c r="T169" s="83"/>
      <c r="U169" s="84"/>
      <c r="V169" s="285"/>
      <c r="W169" s="285"/>
    </row>
    <row r="170" spans="1:23" s="85" customFormat="1" ht="37.5" customHeight="1" x14ac:dyDescent="0.25">
      <c r="A170" s="76"/>
      <c r="B170" s="77"/>
      <c r="C170" s="78"/>
      <c r="D170" s="78"/>
      <c r="E170" s="87" t="s">
        <v>68</v>
      </c>
      <c r="F170" s="363"/>
      <c r="G170" s="364"/>
      <c r="H170" s="364"/>
      <c r="I170" s="364"/>
      <c r="J170" s="364"/>
      <c r="K170" s="364"/>
      <c r="L170" s="364"/>
      <c r="M170" s="364"/>
      <c r="N170" s="365"/>
      <c r="O170" s="81"/>
      <c r="P170" s="81"/>
      <c r="Q170" s="82"/>
      <c r="R170" s="81"/>
      <c r="S170" s="84"/>
      <c r="T170" s="83"/>
      <c r="U170" s="84"/>
      <c r="V170" s="285"/>
      <c r="W170" s="285"/>
    </row>
    <row r="171" spans="1:23" s="85" customFormat="1" ht="37.5" customHeight="1" x14ac:dyDescent="0.25">
      <c r="A171" s="76"/>
      <c r="B171" s="77"/>
      <c r="C171" s="78"/>
      <c r="D171" s="78"/>
      <c r="E171" s="87" t="s">
        <v>68</v>
      </c>
      <c r="F171" s="363"/>
      <c r="G171" s="364"/>
      <c r="H171" s="364"/>
      <c r="I171" s="364"/>
      <c r="J171" s="364"/>
      <c r="K171" s="364"/>
      <c r="L171" s="364"/>
      <c r="M171" s="364"/>
      <c r="N171" s="365"/>
      <c r="O171" s="81"/>
      <c r="P171" s="81"/>
      <c r="Q171" s="82"/>
      <c r="R171" s="81"/>
      <c r="S171" s="84"/>
      <c r="T171" s="83"/>
      <c r="U171" s="84"/>
      <c r="V171" s="285"/>
      <c r="W171" s="285"/>
    </row>
    <row r="172" spans="1:23" s="85" customFormat="1" ht="37.5" customHeight="1" x14ac:dyDescent="0.25">
      <c r="A172" s="76"/>
      <c r="B172" s="77"/>
      <c r="C172" s="78"/>
      <c r="D172" s="78"/>
      <c r="E172" s="87" t="s">
        <v>68</v>
      </c>
      <c r="F172" s="363"/>
      <c r="G172" s="364"/>
      <c r="H172" s="364"/>
      <c r="I172" s="364"/>
      <c r="J172" s="364"/>
      <c r="K172" s="364"/>
      <c r="L172" s="364"/>
      <c r="M172" s="364"/>
      <c r="N172" s="365"/>
      <c r="O172" s="81"/>
      <c r="P172" s="81"/>
      <c r="Q172" s="82"/>
      <c r="R172" s="81"/>
      <c r="S172" s="84"/>
      <c r="T172" s="83"/>
      <c r="U172" s="84"/>
      <c r="V172" s="285"/>
      <c r="W172" s="285"/>
    </row>
    <row r="173" spans="1:23" s="85" customFormat="1" ht="37.5" customHeight="1" x14ac:dyDescent="0.25">
      <c r="A173" s="76"/>
      <c r="B173" s="77"/>
      <c r="C173" s="78"/>
      <c r="D173" s="78"/>
      <c r="E173" s="87" t="s">
        <v>68</v>
      </c>
      <c r="F173" s="363"/>
      <c r="G173" s="364"/>
      <c r="H173" s="364"/>
      <c r="I173" s="364"/>
      <c r="J173" s="364"/>
      <c r="K173" s="364"/>
      <c r="L173" s="364"/>
      <c r="M173" s="364"/>
      <c r="N173" s="365"/>
      <c r="O173" s="81"/>
      <c r="P173" s="81"/>
      <c r="Q173" s="82"/>
      <c r="R173" s="81"/>
      <c r="S173" s="84"/>
      <c r="T173" s="83"/>
      <c r="U173" s="84"/>
      <c r="V173" s="285"/>
      <c r="W173" s="285"/>
    </row>
    <row r="174" spans="1:23" s="1" customFormat="1" ht="15.75" x14ac:dyDescent="0.25">
      <c r="M174" s="51"/>
      <c r="N174" s="51" t="s">
        <v>113</v>
      </c>
      <c r="O174" s="34">
        <f>SUM(O163:O173)</f>
        <v>106693.59</v>
      </c>
      <c r="P174" s="34">
        <f>SUM(P163:P173)</f>
        <v>105595.29</v>
      </c>
      <c r="Q174" s="26"/>
      <c r="R174" s="34">
        <f>SUM(R163:R173)</f>
        <v>93557.489999999991</v>
      </c>
      <c r="S174" s="26"/>
      <c r="T174" s="166">
        <f>SUM(T163:T173)</f>
        <v>93557.489999999991</v>
      </c>
      <c r="U174" s="26"/>
      <c r="V174" s="166">
        <f>SUM(V163:V173)</f>
        <v>85492.549999999988</v>
      </c>
    </row>
    <row r="175" spans="1:23" x14ac:dyDescent="0.25">
      <c r="T175" s="169"/>
    </row>
    <row r="176" spans="1:23" x14ac:dyDescent="0.25">
      <c r="T176" s="169"/>
    </row>
    <row r="177" spans="5:23" ht="15.75" thickBot="1" x14ac:dyDescent="0.3">
      <c r="T177" s="169"/>
    </row>
    <row r="178" spans="5:23" s="1" customFormat="1" ht="21.75" thickBot="1" x14ac:dyDescent="0.4">
      <c r="G178" s="68"/>
      <c r="H178" s="345" t="s">
        <v>137</v>
      </c>
      <c r="I178" s="346"/>
      <c r="J178" s="346"/>
      <c r="K178" s="346"/>
      <c r="L178" s="346"/>
      <c r="M178" s="346"/>
      <c r="N178" s="347"/>
      <c r="O178" s="98">
        <v>10513.66</v>
      </c>
      <c r="P178" s="98">
        <f>P158*0.05</f>
        <v>10565.955775</v>
      </c>
      <c r="Q178" s="98"/>
      <c r="R178" s="98">
        <v>11139.22</v>
      </c>
      <c r="S178" s="98"/>
      <c r="T178" s="170">
        <v>11139.22</v>
      </c>
      <c r="U178" s="34"/>
      <c r="V178" s="34">
        <f>(V158-V60-V61)*0.05</f>
        <v>10663.562275000002</v>
      </c>
    </row>
    <row r="179" spans="5:23" x14ac:dyDescent="0.25">
      <c r="T179" s="169"/>
    </row>
    <row r="180" spans="5:23" ht="15.75" thickBot="1" x14ac:dyDescent="0.3">
      <c r="T180" s="169"/>
    </row>
    <row r="181" spans="5:23" s="45" customFormat="1" ht="24" thickBot="1" x14ac:dyDescent="0.4">
      <c r="E181" s="348" t="s">
        <v>139</v>
      </c>
      <c r="F181" s="349"/>
      <c r="G181" s="349"/>
      <c r="H181" s="349"/>
      <c r="I181" s="349"/>
      <c r="J181" s="349"/>
      <c r="K181" s="349"/>
      <c r="L181" s="349"/>
      <c r="M181" s="349"/>
      <c r="N181" s="350"/>
      <c r="O181" s="47">
        <f>SUM(O178,O174,O158)</f>
        <v>327480.36549999996</v>
      </c>
      <c r="P181" s="47">
        <f t="shared" ref="P181:V181" si="1">SUM(P178,P174,P158)</f>
        <v>327480.36127499997</v>
      </c>
      <c r="Q181" s="47"/>
      <c r="R181" s="47">
        <f>SUM(R178,R174,R158)</f>
        <v>327480.35549999995</v>
      </c>
      <c r="S181" s="47"/>
      <c r="T181" s="171">
        <f t="shared" si="1"/>
        <v>327480.35549999995</v>
      </c>
      <c r="U181" s="46"/>
      <c r="V181" s="171">
        <f t="shared" si="1"/>
        <v>327480.35777500004</v>
      </c>
      <c r="W181" s="47"/>
    </row>
    <row r="182" spans="5:23" x14ac:dyDescent="0.25">
      <c r="Q182" s="259"/>
      <c r="W182" s="116"/>
    </row>
    <row r="183" spans="5:23" x14ac:dyDescent="0.25">
      <c r="O183" s="116"/>
    </row>
    <row r="184" spans="5:23" x14ac:dyDescent="0.25">
      <c r="P184" s="116"/>
      <c r="Q184" s="258"/>
      <c r="R184" s="282"/>
      <c r="U184" s="258"/>
      <c r="V184" s="116"/>
      <c r="W184" s="11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23">
    <mergeCell ref="F153:N153"/>
    <mergeCell ref="F152:N152"/>
    <mergeCell ref="F83:N83"/>
    <mergeCell ref="F84:N84"/>
    <mergeCell ref="F124:N124"/>
    <mergeCell ref="F151:N151"/>
    <mergeCell ref="F148:N148"/>
    <mergeCell ref="F121:N121"/>
    <mergeCell ref="F119:N119"/>
    <mergeCell ref="F117:N117"/>
    <mergeCell ref="F107:N107"/>
    <mergeCell ref="F96:N96"/>
    <mergeCell ref="F114:N114"/>
    <mergeCell ref="F131:N131"/>
    <mergeCell ref="F136:N136"/>
    <mergeCell ref="F137:N137"/>
    <mergeCell ref="F132:N132"/>
    <mergeCell ref="F118:N118"/>
    <mergeCell ref="F125:N125"/>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42:N42"/>
    <mergeCell ref="F41:N41"/>
    <mergeCell ref="F43:N43"/>
    <mergeCell ref="F39:N39"/>
    <mergeCell ref="A20:D20"/>
    <mergeCell ref="F48:N48"/>
    <mergeCell ref="F40:N40"/>
    <mergeCell ref="F44:N44"/>
    <mergeCell ref="F45:N45"/>
    <mergeCell ref="A55:D55"/>
    <mergeCell ref="F92:N92"/>
    <mergeCell ref="F93:N93"/>
    <mergeCell ref="F94:N94"/>
    <mergeCell ref="F95:N95"/>
    <mergeCell ref="F58:N58"/>
    <mergeCell ref="F59:N59"/>
    <mergeCell ref="F63:N63"/>
    <mergeCell ref="F64:N64"/>
    <mergeCell ref="F65:N65"/>
    <mergeCell ref="F89:N89"/>
    <mergeCell ref="F90:N90"/>
    <mergeCell ref="F91:N91"/>
    <mergeCell ref="F46:N46"/>
    <mergeCell ref="F47:N47"/>
    <mergeCell ref="F115:N115"/>
    <mergeCell ref="F60:N60"/>
    <mergeCell ref="F61:N61"/>
    <mergeCell ref="F62:N62"/>
    <mergeCell ref="F77:N77"/>
    <mergeCell ref="F78:N78"/>
    <mergeCell ref="F79:N79"/>
    <mergeCell ref="F80:N80"/>
    <mergeCell ref="F81:N81"/>
    <mergeCell ref="F82:N82"/>
    <mergeCell ref="F108:N108"/>
    <mergeCell ref="F97:N97"/>
    <mergeCell ref="F98:N98"/>
    <mergeCell ref="F99:N99"/>
    <mergeCell ref="F104:N104"/>
    <mergeCell ref="F105:N105"/>
    <mergeCell ref="F106:N106"/>
    <mergeCell ref="F165:N165"/>
    <mergeCell ref="F166:N166"/>
    <mergeCell ref="F135:N135"/>
    <mergeCell ref="F109:N109"/>
    <mergeCell ref="F110:N110"/>
    <mergeCell ref="E158:N158"/>
    <mergeCell ref="F147:N147"/>
    <mergeCell ref="F138:N138"/>
    <mergeCell ref="F139:N139"/>
    <mergeCell ref="F140:N140"/>
    <mergeCell ref="F141:N141"/>
    <mergeCell ref="F142:N142"/>
    <mergeCell ref="F143:N143"/>
    <mergeCell ref="F144:N144"/>
    <mergeCell ref="F145:N145"/>
    <mergeCell ref="F146:N146"/>
    <mergeCell ref="F116:N116"/>
    <mergeCell ref="F120:N120"/>
    <mergeCell ref="F130:N130"/>
    <mergeCell ref="F163:N163"/>
    <mergeCell ref="F149:N149"/>
    <mergeCell ref="F122:N122"/>
    <mergeCell ref="F150:N150"/>
    <mergeCell ref="F123:N123"/>
    <mergeCell ref="F164:N164"/>
    <mergeCell ref="H178:N178"/>
    <mergeCell ref="E181:N181"/>
    <mergeCell ref="A11:Q15"/>
    <mergeCell ref="F133:N133"/>
    <mergeCell ref="F134:N134"/>
    <mergeCell ref="F171:N171"/>
    <mergeCell ref="F172:N172"/>
    <mergeCell ref="F173:N173"/>
    <mergeCell ref="K54:N54"/>
    <mergeCell ref="F70:N70"/>
    <mergeCell ref="F71:N71"/>
    <mergeCell ref="F72:N72"/>
    <mergeCell ref="F73:N73"/>
    <mergeCell ref="F74:N74"/>
    <mergeCell ref="F75:N75"/>
    <mergeCell ref="F76:N76"/>
    <mergeCell ref="F167:N167"/>
    <mergeCell ref="F168:N168"/>
    <mergeCell ref="F169:N169"/>
    <mergeCell ref="F170:N170"/>
    <mergeCell ref="F111:N111"/>
    <mergeCell ref="F112:N112"/>
    <mergeCell ref="F113:N113"/>
  </mergeCells>
  <dataValidations disablePrompts="1" count="10">
    <dataValidation type="list" allowBlank="1" showInputMessage="1" showErrorMessage="1" sqref="C23:D33 C89:D99 C58:D65 C70:D84 C163:D173 C38:D50 C130:D147 C104:D120">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9:E99">
      <formula1>Telephone</formula1>
    </dataValidation>
    <dataValidation type="list" allowBlank="1" showInputMessage="1" showErrorMessage="1" sqref="E163:E173">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4">
      <formula1>Supplies</formula1>
    </dataValidation>
    <dataValidation type="list" allowBlank="1" showInputMessage="1" showErrorMessage="1" sqref="E130:E147">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4:E12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H16" workbookViewId="0">
      <selection activeCell="S7" sqref="S7"/>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24.28515625" customWidth="1"/>
    <col min="19" max="19" width="23.85546875" customWidth="1"/>
    <col min="22" max="22" width="27.42578125" bestFit="1" customWidth="1"/>
  </cols>
  <sheetData>
    <row r="1" spans="1:19" ht="18.75" x14ac:dyDescent="0.3">
      <c r="A1" s="382" t="s">
        <v>42</v>
      </c>
      <c r="B1" s="382"/>
      <c r="C1" s="382"/>
      <c r="E1" s="382" t="s">
        <v>38</v>
      </c>
      <c r="F1" s="382"/>
      <c r="G1" s="382"/>
      <c r="I1" s="382" t="s">
        <v>39</v>
      </c>
      <c r="J1" s="382"/>
      <c r="K1" s="382"/>
      <c r="M1" s="382" t="s">
        <v>40</v>
      </c>
      <c r="N1" s="382"/>
      <c r="O1" s="382"/>
      <c r="Q1" s="382" t="s">
        <v>552</v>
      </c>
      <c r="R1" s="382"/>
      <c r="S1" s="382"/>
    </row>
    <row r="2" spans="1:19" x14ac:dyDescent="0.25">
      <c r="A2" s="326" t="s">
        <v>2</v>
      </c>
      <c r="B2" s="326"/>
      <c r="C2" s="1" t="s">
        <v>0</v>
      </c>
      <c r="E2" s="326" t="s">
        <v>2</v>
      </c>
      <c r="F2" s="326"/>
      <c r="G2" s="1" t="s">
        <v>0</v>
      </c>
      <c r="I2" s="326" t="s">
        <v>2</v>
      </c>
      <c r="J2" s="326"/>
      <c r="K2" s="1" t="s">
        <v>0</v>
      </c>
      <c r="M2" s="326" t="s">
        <v>2</v>
      </c>
      <c r="N2" s="326"/>
      <c r="O2" s="1" t="s">
        <v>0</v>
      </c>
      <c r="Q2" s="326" t="s">
        <v>2</v>
      </c>
      <c r="R2" s="326"/>
      <c r="S2" s="1" t="s">
        <v>0</v>
      </c>
    </row>
    <row r="3" spans="1:19" x14ac:dyDescent="0.25">
      <c r="A3" s="380" t="s">
        <v>5</v>
      </c>
      <c r="B3" s="381"/>
      <c r="C3" s="69"/>
      <c r="E3" s="380" t="s">
        <v>5</v>
      </c>
      <c r="F3" s="381"/>
      <c r="G3" s="69"/>
      <c r="I3" s="380" t="s">
        <v>5</v>
      </c>
      <c r="J3" s="381"/>
      <c r="K3" s="69"/>
      <c r="M3" s="380" t="s">
        <v>5</v>
      </c>
      <c r="N3" s="381"/>
      <c r="O3" s="69"/>
      <c r="Q3" s="380" t="s">
        <v>5</v>
      </c>
      <c r="R3" s="381"/>
    </row>
    <row r="4" spans="1:19" x14ac:dyDescent="0.25">
      <c r="A4" s="5">
        <v>1</v>
      </c>
      <c r="B4" s="6" t="s">
        <v>1</v>
      </c>
      <c r="C4" s="69">
        <f>SUMIF('Budget Detail &amp; Amendments'!E23:E33, B4, 'Budget Detail &amp; Amendments'!O23:O33)</f>
        <v>53057.94</v>
      </c>
      <c r="E4" s="5">
        <v>1</v>
      </c>
      <c r="F4" s="6" t="s">
        <v>1</v>
      </c>
      <c r="G4" s="69">
        <f>SUMIF('Budget Detail &amp; Amendments'!E23:E33, 'Budget Roll-Up'!F4, 'Budget Detail &amp; Amendments'!P23:P33)</f>
        <v>53057.94</v>
      </c>
      <c r="I4" s="5">
        <v>1</v>
      </c>
      <c r="J4" s="6" t="s">
        <v>1</v>
      </c>
      <c r="K4" s="69">
        <f>SUMIF('Budget Detail &amp; Amendments'!E23:E33, 'Budget Roll-Up'!J4, 'Budget Detail &amp; Amendments'!R23:R33)</f>
        <v>31932.940000000002</v>
      </c>
      <c r="M4" s="5">
        <v>1</v>
      </c>
      <c r="N4" s="6" t="s">
        <v>1</v>
      </c>
      <c r="O4" s="69">
        <f>SUMIF('Budget Detail &amp; Amendments'!E23:E33, 'Budget Roll-Up'!N4, 'Budget Detail &amp; Amendments'!T23:T33)</f>
        <v>31932.940000000002</v>
      </c>
      <c r="Q4" s="5">
        <v>1</v>
      </c>
      <c r="R4" s="6" t="s">
        <v>1</v>
      </c>
      <c r="S4" s="69">
        <f>SUMIF('Budget Detail &amp; Amendments'!E23:E33, 'Budget Roll-Up'!R4, 'Budget Detail &amp; Amendments'!V23:V33)</f>
        <v>31932.54</v>
      </c>
    </row>
    <row r="5" spans="1:19" x14ac:dyDescent="0.25">
      <c r="A5" s="5">
        <v>2</v>
      </c>
      <c r="B5" s="6" t="s">
        <v>3</v>
      </c>
      <c r="C5" s="69">
        <f>SUMIF('Budget Detail &amp; Amendments'!E23:E33, B5, 'Budget Detail &amp; Amendments'!O23:O33)</f>
        <v>11396.2</v>
      </c>
      <c r="E5" s="5">
        <v>2</v>
      </c>
      <c r="F5" s="6" t="s">
        <v>3</v>
      </c>
      <c r="G5" s="69">
        <f>SUMIF('Budget Detail &amp; Amendments'!E23:E33, 'Budget Roll-Up'!F5, 'Budget Detail &amp; Amendments'!P23:P33)</f>
        <v>11396.2</v>
      </c>
      <c r="I5" s="5">
        <v>2</v>
      </c>
      <c r="J5" s="6" t="s">
        <v>3</v>
      </c>
      <c r="K5" s="69">
        <f>SUMIF('Budget Detail &amp; Amendments'!E23:E33, 'Budget Roll-Up'!J5, 'Budget Detail &amp; Amendments'!R23:R33)</f>
        <v>11396.2</v>
      </c>
      <c r="M5" s="5">
        <v>2</v>
      </c>
      <c r="N5" s="6" t="s">
        <v>3</v>
      </c>
      <c r="O5" s="69">
        <f>SUMIF('Budget Detail &amp; Amendments'!E23:E33, 'Budget Roll-Up'!N5, 'Budget Detail &amp; Amendments'!T23:T33)</f>
        <v>8996.2000000000007</v>
      </c>
      <c r="Q5" s="5">
        <v>2</v>
      </c>
      <c r="R5" s="6" t="s">
        <v>3</v>
      </c>
      <c r="S5" s="69">
        <f>SUMIF('Budget Detail &amp; Amendments'!E23:E33, 'Budget Roll-Up'!R5, 'Budget Detail &amp; Amendments'!V23:V33)</f>
        <v>8996.2000000000007</v>
      </c>
    </row>
    <row r="6" spans="1:19" x14ac:dyDescent="0.25">
      <c r="A6" s="5">
        <v>3</v>
      </c>
      <c r="B6" s="6" t="s">
        <v>4</v>
      </c>
      <c r="C6" s="69">
        <f>'Budget Detail &amp; Amendments'!O51</f>
        <v>30703.037499999999</v>
      </c>
      <c r="E6" s="5">
        <v>3</v>
      </c>
      <c r="F6" s="6" t="s">
        <v>4</v>
      </c>
      <c r="G6" s="69">
        <f>'Budget Detail &amp; Amendments'!P51</f>
        <v>30703.037499999999</v>
      </c>
      <c r="I6" s="5">
        <v>3</v>
      </c>
      <c r="J6" s="6" t="s">
        <v>4</v>
      </c>
      <c r="K6" s="69">
        <f>'Budget Detail &amp; Amendments'!R51</f>
        <v>21375.127500000002</v>
      </c>
      <c r="M6" s="5">
        <v>3</v>
      </c>
      <c r="N6" s="6" t="s">
        <v>4</v>
      </c>
      <c r="O6" s="69">
        <f>'Budget Detail &amp; Amendments'!T51</f>
        <v>20919.127500000002</v>
      </c>
      <c r="Q6" s="5">
        <v>3</v>
      </c>
      <c r="R6" s="6" t="s">
        <v>4</v>
      </c>
      <c r="S6" s="69">
        <f>'Budget Detail &amp; Amendments'!V51</f>
        <v>20919.127500000002</v>
      </c>
    </row>
    <row r="7" spans="1:19" x14ac:dyDescent="0.25">
      <c r="A7" s="7">
        <v>4</v>
      </c>
      <c r="B7" s="8" t="s">
        <v>6</v>
      </c>
      <c r="C7" s="70">
        <f>SUM(C4:C6)</f>
        <v>95157.177499999991</v>
      </c>
      <c r="E7" s="7">
        <v>4</v>
      </c>
      <c r="F7" s="8" t="s">
        <v>6</v>
      </c>
      <c r="G7" s="70">
        <f>SUM(G4:G6)</f>
        <v>95157.177499999991</v>
      </c>
      <c r="I7" s="7">
        <v>4</v>
      </c>
      <c r="J7" s="8" t="s">
        <v>6</v>
      </c>
      <c r="K7" s="70">
        <f>SUM(K4:K6)</f>
        <v>64704.267500000002</v>
      </c>
      <c r="M7" s="7">
        <v>4</v>
      </c>
      <c r="N7" s="8" t="s">
        <v>6</v>
      </c>
      <c r="O7" s="70">
        <f>SUM(O4:O6)</f>
        <v>61848.267500000002</v>
      </c>
      <c r="Q7" s="7">
        <v>4</v>
      </c>
      <c r="R7" s="8" t="s">
        <v>6</v>
      </c>
      <c r="S7" s="70">
        <f>SUM(S4:S6)</f>
        <v>61847.867500000008</v>
      </c>
    </row>
    <row r="8" spans="1:19" x14ac:dyDescent="0.25">
      <c r="G8" s="71"/>
      <c r="K8" s="71"/>
      <c r="O8" s="71"/>
    </row>
    <row r="9" spans="1:19" x14ac:dyDescent="0.25">
      <c r="A9" s="326" t="s">
        <v>7</v>
      </c>
      <c r="B9" s="326"/>
      <c r="E9" s="326" t="s">
        <v>7</v>
      </c>
      <c r="F9" s="326"/>
      <c r="G9" s="71"/>
      <c r="I9" s="326" t="s">
        <v>7</v>
      </c>
      <c r="J9" s="326"/>
      <c r="K9" s="71"/>
      <c r="M9" s="326" t="s">
        <v>7</v>
      </c>
      <c r="N9" s="326"/>
      <c r="O9" s="71"/>
    </row>
    <row r="10" spans="1:19" x14ac:dyDescent="0.25">
      <c r="A10" s="5">
        <v>5</v>
      </c>
      <c r="B10" s="6" t="s">
        <v>8</v>
      </c>
      <c r="C10" s="69">
        <f>SUMIF('Budget Detail &amp; Amendments'!E58:E65, B10, 'Budget Detail &amp; Amendments'!O58:O65)</f>
        <v>8600</v>
      </c>
      <c r="E10" s="5">
        <v>5</v>
      </c>
      <c r="F10" s="6" t="s">
        <v>8</v>
      </c>
      <c r="G10" s="69">
        <f>SUMIF('Budget Detail &amp; Amendments'!E58:E65, 'Budget Roll-Up'!F10, 'Budget Detail &amp; Amendments'!P58:P65)</f>
        <v>8600</v>
      </c>
      <c r="I10" s="5">
        <v>5</v>
      </c>
      <c r="J10" s="6" t="s">
        <v>8</v>
      </c>
      <c r="K10" s="69">
        <f>SUMIF('Budget Detail &amp; Amendments'!E58:E65, 'Budget Roll-Up'!J10, 'Budget Detail &amp; Amendments'!R58:R65)</f>
        <v>8600</v>
      </c>
      <c r="M10" s="5">
        <v>5</v>
      </c>
      <c r="N10" s="6" t="s">
        <v>8</v>
      </c>
      <c r="O10" s="69">
        <f>SUMIF('Budget Detail &amp; Amendments'!E58:E65, 'Budget Roll-Up'!N10, 'Budget Detail &amp; Amendments'!T58:T65)</f>
        <v>12100</v>
      </c>
      <c r="Q10" s="5">
        <v>5</v>
      </c>
      <c r="R10" s="6" t="s">
        <v>8</v>
      </c>
      <c r="S10" s="69">
        <f>SUMIF('Budget Detail &amp; Amendments'!E58:E65, 'Budget Roll-Up'!R10, 'Budget Detail &amp; Amendments'!V58:V65)</f>
        <v>18053</v>
      </c>
    </row>
    <row r="11" spans="1:19" x14ac:dyDescent="0.25">
      <c r="A11" s="5">
        <v>6</v>
      </c>
      <c r="B11" s="6" t="s">
        <v>9</v>
      </c>
      <c r="C11" s="69"/>
      <c r="E11" s="5">
        <v>6</v>
      </c>
      <c r="F11" s="6" t="s">
        <v>9</v>
      </c>
      <c r="G11" s="69"/>
      <c r="I11" s="5">
        <v>6</v>
      </c>
      <c r="J11" s="6" t="s">
        <v>9</v>
      </c>
      <c r="K11" s="69"/>
      <c r="M11" s="5">
        <v>6</v>
      </c>
      <c r="N11" s="6" t="s">
        <v>9</v>
      </c>
      <c r="O11" s="69"/>
      <c r="Q11" s="5">
        <v>6</v>
      </c>
      <c r="R11" s="6" t="s">
        <v>9</v>
      </c>
      <c r="S11" s="69"/>
    </row>
    <row r="12" spans="1:19" x14ac:dyDescent="0.25">
      <c r="A12" s="5">
        <v>7</v>
      </c>
      <c r="B12" s="6" t="s">
        <v>10</v>
      </c>
      <c r="C12" s="69">
        <f>SUMIF('Budget Detail &amp; Amendments'!E58:E65, 'Budget Roll-Up'!B12, 'Budget Detail &amp; Amendments'!O58:O65)</f>
        <v>400</v>
      </c>
      <c r="E12" s="5">
        <v>7</v>
      </c>
      <c r="F12" s="6" t="s">
        <v>10</v>
      </c>
      <c r="G12" s="69">
        <f>SUMIF('Budget Detail &amp; Amendments'!E58:E65, 'Budget Roll-Up'!F12, 'Budget Detail &amp; Amendments'!P58:P65)</f>
        <v>400</v>
      </c>
      <c r="I12" s="5">
        <v>7</v>
      </c>
      <c r="J12" s="6" t="s">
        <v>10</v>
      </c>
      <c r="K12" s="69">
        <f>SUMIF('Budget Detail &amp; Amendments'!E58:E65, 'Budget Roll-Up'!J12, 'Budget Detail &amp; Amendments'!R58:R65)</f>
        <v>400</v>
      </c>
      <c r="M12" s="5">
        <v>7</v>
      </c>
      <c r="N12" s="6" t="s">
        <v>10</v>
      </c>
      <c r="O12" s="69">
        <f>SUMIF('Budget Detail &amp; Amendments'!E58:E65, 'Budget Roll-Up'!N12, 'Budget Detail &amp; Amendments'!T58:T65)</f>
        <v>200</v>
      </c>
      <c r="Q12" s="5">
        <v>7</v>
      </c>
      <c r="R12" s="6" t="s">
        <v>10</v>
      </c>
      <c r="S12" s="69">
        <f>SUMIF('Budget Detail &amp; Amendments'!E58:E65, 'Budget Roll-Up'!R12, 'Budget Detail &amp; Amendments'!V58:V65)</f>
        <v>200</v>
      </c>
    </row>
    <row r="13" spans="1:19" x14ac:dyDescent="0.25">
      <c r="A13" s="5">
        <v>8</v>
      </c>
      <c r="B13" s="6" t="s">
        <v>13</v>
      </c>
      <c r="C13" s="69">
        <f>SUMIF('Budget Detail &amp; Amendments'!E70:E82, 'Budget Roll-Up'!B13, 'Budget Detail &amp; Amendments'!O70:O82)</f>
        <v>2059</v>
      </c>
      <c r="E13" s="5">
        <v>8</v>
      </c>
      <c r="F13" s="6" t="s">
        <v>13</v>
      </c>
      <c r="G13" s="69">
        <f>SUMIF('Budget Detail &amp; Amendments'!E70:E82, 'Budget Roll-Up'!F13, 'Budget Detail &amp; Amendments'!P70:P82)</f>
        <v>2059</v>
      </c>
      <c r="I13" s="5">
        <v>8</v>
      </c>
      <c r="J13" s="6" t="s">
        <v>13</v>
      </c>
      <c r="K13" s="69">
        <f>SUMIF('Budget Detail &amp; Amendments'!E70:E82, 'Budget Roll-Up'!J13, 'Budget Detail &amp; Amendments'!R70:R82)</f>
        <v>2059</v>
      </c>
      <c r="M13" s="5">
        <v>8</v>
      </c>
      <c r="N13" s="6" t="s">
        <v>13</v>
      </c>
      <c r="O13" s="69">
        <f>SUMIF('Budget Detail &amp; Amendments'!E70:E84, 'Budget Roll-Up'!N13, 'Budget Detail &amp; Amendments'!T70:T84)</f>
        <v>2617.8000000000002</v>
      </c>
      <c r="Q13" s="5">
        <v>8</v>
      </c>
      <c r="R13" s="6" t="s">
        <v>13</v>
      </c>
      <c r="S13" s="69">
        <f>SUMIF('Budget Detail &amp; Amendments'!E70:E84, 'Budget Roll-Up'!R13, 'Budget Detail &amp; Amendments'!V70:V84)</f>
        <v>2617.8000000000002</v>
      </c>
    </row>
    <row r="14" spans="1:19" x14ac:dyDescent="0.25">
      <c r="A14" s="5">
        <v>9</v>
      </c>
      <c r="B14" s="6" t="s">
        <v>11</v>
      </c>
      <c r="C14" s="69">
        <f>SUMIF('Budget Detail &amp; Amendments'!E70:E82, 'Budget Roll-Up'!B14, 'Budget Detail &amp; Amendments'!O70:O82)</f>
        <v>51848.43</v>
      </c>
      <c r="E14" s="5">
        <v>9</v>
      </c>
      <c r="F14" s="6" t="s">
        <v>11</v>
      </c>
      <c r="G14" s="69">
        <f>SUMIF('Budget Detail &amp; Amendments'!E70:E82, 'Budget Roll-Up'!F14, 'Budget Detail &amp; Amendments'!P70:P82)</f>
        <v>51848.43</v>
      </c>
      <c r="I14" s="5">
        <v>9</v>
      </c>
      <c r="J14" s="6" t="s">
        <v>11</v>
      </c>
      <c r="K14" s="69">
        <f>SUMIF('Budget Detail &amp; Amendments'!E70:E84, 'Budget Roll-Up'!J14, 'Budget Detail &amp; Amendments'!R70:R84)</f>
        <v>85588.299999999988</v>
      </c>
      <c r="M14" s="5">
        <v>9</v>
      </c>
      <c r="N14" s="6" t="s">
        <v>11</v>
      </c>
      <c r="O14" s="69">
        <f>SUMIF('Budget Detail &amp; Amendments'!E70:E84, 'Budget Roll-Up'!N14, 'Budget Detail &amp; Amendments'!T70:T84)</f>
        <v>85588.299999999988</v>
      </c>
      <c r="Q14" s="5">
        <v>9</v>
      </c>
      <c r="R14" s="6" t="s">
        <v>11</v>
      </c>
      <c r="S14" s="69">
        <f>SUMIF('Budget Detail &amp; Amendments'!E70:E84, 'Budget Roll-Up'!R14, 'Budget Detail &amp; Amendments'!V70:V84)</f>
        <v>84599.299999999988</v>
      </c>
    </row>
    <row r="15" spans="1:19" x14ac:dyDescent="0.25">
      <c r="A15" s="5">
        <v>10</v>
      </c>
      <c r="B15" s="6" t="s">
        <v>12</v>
      </c>
      <c r="C15" s="69">
        <f>SUMIF('Budget Detail &amp; Amendments'!E89:E99, 'Budget Roll-Up'!B15, 'Budget Detail &amp; Amendments'!O89:O99)</f>
        <v>100</v>
      </c>
      <c r="E15" s="5">
        <v>10</v>
      </c>
      <c r="F15" s="6" t="s">
        <v>12</v>
      </c>
      <c r="G15" s="69">
        <f>SUMIF('Budget Detail &amp; Amendments'!E89:E99, 'Budget Roll-Up'!F15, 'Budget Detail &amp; Amendments'!P89:P99)</f>
        <v>100</v>
      </c>
      <c r="I15" s="5">
        <v>10</v>
      </c>
      <c r="J15" s="6" t="s">
        <v>12</v>
      </c>
      <c r="K15" s="69">
        <f>SUMIF('Budget Detail &amp; Amendments'!E89:E99, 'Budget Roll-Up'!J15, 'Budget Detail &amp; Amendments'!R89:R99)</f>
        <v>100</v>
      </c>
      <c r="M15" s="5">
        <v>10</v>
      </c>
      <c r="N15" s="6" t="s">
        <v>12</v>
      </c>
      <c r="O15" s="69">
        <f>SUMIF('Budget Detail &amp; Amendments'!E89:E99, 'Budget Roll-Up'!N15, 'Budget Detail &amp; Amendments'!T89:T99)</f>
        <v>0</v>
      </c>
      <c r="Q15" s="5">
        <v>10</v>
      </c>
      <c r="R15" s="6" t="s">
        <v>12</v>
      </c>
      <c r="S15" s="69"/>
    </row>
    <row r="16" spans="1:19" x14ac:dyDescent="0.25">
      <c r="A16" s="5">
        <v>11</v>
      </c>
      <c r="B16" s="6" t="s">
        <v>14</v>
      </c>
      <c r="C16" s="69">
        <f>SUMIF('Budget Detail &amp; Amendments'!E89:E99, 'Budget Roll-Up'!B16, 'Budget Detail &amp; Amendments'!O89:O99)</f>
        <v>0</v>
      </c>
      <c r="E16" s="5">
        <v>11</v>
      </c>
      <c r="F16" s="6" t="s">
        <v>14</v>
      </c>
      <c r="G16" s="69">
        <f>SUMIF('Budget Detail &amp; Amendments'!E89:E99, 'Budget Roll-Up'!F16, 'Budget Detail &amp; Amendments'!P89:P99)</f>
        <v>0</v>
      </c>
      <c r="I16" s="5">
        <v>11</v>
      </c>
      <c r="J16" s="6" t="s">
        <v>14</v>
      </c>
      <c r="K16" s="69">
        <f>SUMIF('Budget Detail &amp; Amendments'!E89:E99, 'Budget Roll-Up'!J16, 'Budget Detail &amp; Amendments'!R89:R99)</f>
        <v>0</v>
      </c>
      <c r="M16" s="5">
        <v>11</v>
      </c>
      <c r="N16" s="6" t="s">
        <v>14</v>
      </c>
      <c r="O16" s="69">
        <f>SUMIF('Budget Detail &amp; Amendments'!E89:E99, 'Budget Roll-Up'!N16, 'Budget Detail &amp; Amendments'!T89:T99)</f>
        <v>0</v>
      </c>
      <c r="Q16" s="5">
        <v>11</v>
      </c>
      <c r="R16" s="6" t="s">
        <v>14</v>
      </c>
      <c r="S16" s="69"/>
    </row>
    <row r="17" spans="1:19" x14ac:dyDescent="0.25">
      <c r="A17" s="5">
        <v>12</v>
      </c>
      <c r="B17" s="9" t="s">
        <v>15</v>
      </c>
      <c r="C17" s="69">
        <f>'Budget Detail &amp; Amendments'!O126</f>
        <v>33127.508000000002</v>
      </c>
      <c r="E17" s="5">
        <v>12</v>
      </c>
      <c r="F17" s="9" t="s">
        <v>15</v>
      </c>
      <c r="G17" s="69">
        <f>SUM('Budget Detail &amp; Amendments'!P126)</f>
        <v>34113.508000000002</v>
      </c>
      <c r="I17" s="5">
        <v>12</v>
      </c>
      <c r="J17" s="9" t="s">
        <v>15</v>
      </c>
      <c r="K17" s="69">
        <f>SUM('Budget Detail &amp; Amendments'!R126)</f>
        <v>39861.077999999994</v>
      </c>
      <c r="M17" s="5">
        <v>12</v>
      </c>
      <c r="N17" s="9" t="s">
        <v>15</v>
      </c>
      <c r="O17" s="69">
        <f>SUM('Budget Detail &amp; Amendments'!T126)</f>
        <v>39058.277999999998</v>
      </c>
      <c r="Q17" s="5">
        <v>12</v>
      </c>
      <c r="R17" s="9" t="s">
        <v>15</v>
      </c>
      <c r="S17" s="69">
        <f>SUM('Budget Detail &amp; Amendments'!V126)</f>
        <v>42145.277999999998</v>
      </c>
    </row>
    <row r="18" spans="1:19" x14ac:dyDescent="0.25">
      <c r="A18" s="5">
        <v>13</v>
      </c>
      <c r="B18" s="9" t="s">
        <v>16</v>
      </c>
      <c r="C18" s="69"/>
      <c r="E18" s="5">
        <v>13</v>
      </c>
      <c r="F18" s="9" t="s">
        <v>16</v>
      </c>
      <c r="G18" s="69"/>
      <c r="I18" s="5">
        <v>13</v>
      </c>
      <c r="J18" s="9" t="s">
        <v>16</v>
      </c>
      <c r="K18" s="69"/>
      <c r="M18" s="5">
        <v>13</v>
      </c>
      <c r="N18" s="9" t="s">
        <v>16</v>
      </c>
      <c r="O18" s="69"/>
      <c r="Q18" s="5">
        <v>13</v>
      </c>
      <c r="R18" s="9" t="s">
        <v>16</v>
      </c>
      <c r="S18" s="69"/>
    </row>
    <row r="19" spans="1:19" x14ac:dyDescent="0.25">
      <c r="A19" s="5">
        <v>14</v>
      </c>
      <c r="B19" s="9" t="s">
        <v>17</v>
      </c>
      <c r="C19" s="69"/>
      <c r="E19" s="5">
        <v>14</v>
      </c>
      <c r="F19" s="9" t="s">
        <v>17</v>
      </c>
      <c r="G19" s="69"/>
      <c r="I19" s="5">
        <v>14</v>
      </c>
      <c r="J19" s="9" t="s">
        <v>17</v>
      </c>
      <c r="K19" s="69"/>
      <c r="M19" s="5">
        <v>14</v>
      </c>
      <c r="N19" s="9" t="s">
        <v>17</v>
      </c>
      <c r="O19" s="69"/>
      <c r="Q19" s="5">
        <v>14</v>
      </c>
      <c r="R19" s="9" t="s">
        <v>17</v>
      </c>
      <c r="S19" s="69"/>
    </row>
    <row r="20" spans="1:19" x14ac:dyDescent="0.25">
      <c r="A20" s="5">
        <v>15</v>
      </c>
      <c r="B20" s="9" t="s">
        <v>18</v>
      </c>
      <c r="C20" s="69"/>
      <c r="E20" s="5">
        <v>15</v>
      </c>
      <c r="F20" s="9" t="s">
        <v>18</v>
      </c>
      <c r="G20" s="69"/>
      <c r="I20" s="5">
        <v>15</v>
      </c>
      <c r="J20" s="9" t="s">
        <v>18</v>
      </c>
      <c r="K20" s="69"/>
      <c r="M20" s="5">
        <v>15</v>
      </c>
      <c r="N20" s="9" t="s">
        <v>18</v>
      </c>
      <c r="O20" s="69"/>
      <c r="Q20" s="5">
        <v>15</v>
      </c>
      <c r="R20" s="9" t="s">
        <v>18</v>
      </c>
      <c r="S20" s="69"/>
    </row>
    <row r="21" spans="1:19" x14ac:dyDescent="0.25">
      <c r="A21" s="5">
        <v>16</v>
      </c>
      <c r="B21" s="9" t="s">
        <v>19</v>
      </c>
      <c r="C21" s="69">
        <f>SUMIF('Budget Detail &amp; Amendments'!E130:E147, 'Budget Roll-Up'!B21, 'Budget Detail &amp; Amendments'!O130:O147)</f>
        <v>457</v>
      </c>
      <c r="E21" s="5">
        <v>16</v>
      </c>
      <c r="F21" s="9" t="s">
        <v>19</v>
      </c>
      <c r="G21" s="69">
        <f>SUMIF('Budget Detail &amp; Amendments'!E130:E147, 'Budget Roll-Up'!F21, 'Budget Detail &amp; Amendments'!P130:P147)</f>
        <v>457</v>
      </c>
      <c r="I21" s="5">
        <v>16</v>
      </c>
      <c r="J21" s="9" t="s">
        <v>19</v>
      </c>
      <c r="K21" s="69">
        <f ca="1">SUMIF('Budget Detail &amp; Amendments'!E130:E153, 'Budget Roll-Up'!J21, 'Budget Detail &amp; Amendments'!R130:R148)</f>
        <v>1657</v>
      </c>
      <c r="M21" s="5">
        <v>16</v>
      </c>
      <c r="N21" s="9" t="s">
        <v>19</v>
      </c>
      <c r="O21" s="69">
        <f>SUMIF('Budget Detail &amp; Amendments'!E130:E153, 'Budget Roll-Up'!N21, 'Budget Detail &amp; Amendments'!T130:T153)</f>
        <v>1657</v>
      </c>
      <c r="Q21" s="5">
        <v>16</v>
      </c>
      <c r="R21" s="9" t="s">
        <v>19</v>
      </c>
      <c r="S21" s="69">
        <f>SUMIF('Budget Detail &amp; Amendments'!E130:E153, 'Budget Roll-Up'!R21, 'Budget Detail &amp; Amendments'!V130:V153)</f>
        <v>1657</v>
      </c>
    </row>
    <row r="22" spans="1:19" x14ac:dyDescent="0.25">
      <c r="A22" s="5">
        <v>17</v>
      </c>
      <c r="B22" s="9" t="s">
        <v>20</v>
      </c>
      <c r="C22" s="69">
        <f>SUMIF('Budget Detail &amp; Amendments'!E130:E147, 'Budget Roll-Up'!B22, 'Budget Detail &amp; Amendments'!O130:O147)</f>
        <v>18174</v>
      </c>
      <c r="E22" s="5">
        <v>17</v>
      </c>
      <c r="F22" s="9" t="s">
        <v>20</v>
      </c>
      <c r="G22" s="69">
        <f>SUMIF('Budget Detail &amp; Amendments'!E130:E147, 'Budget Roll-Up'!F22, 'Budget Detail &amp; Amendments'!P130:P147)</f>
        <v>18234</v>
      </c>
      <c r="I22" s="5">
        <v>17</v>
      </c>
      <c r="J22" s="9" t="s">
        <v>20</v>
      </c>
      <c r="K22" s="69">
        <f ca="1">SUMIF('Budget Detail &amp; Amendments'!E130:E153, 'Budget Roll-Up'!J22, 'Budget Detail &amp; Amendments'!R130:R148)</f>
        <v>19464</v>
      </c>
      <c r="M22" s="5">
        <v>17</v>
      </c>
      <c r="N22" s="9" t="s">
        <v>20</v>
      </c>
      <c r="O22" s="69">
        <f>SUMIF('Budget Detail &amp; Amendments'!E130:E153, 'Budget Roll-Up'!N22, 'Budget Detail &amp; Amendments'!T130:T153)</f>
        <v>19464</v>
      </c>
      <c r="Q22" s="5">
        <v>17</v>
      </c>
      <c r="R22" s="9" t="s">
        <v>20</v>
      </c>
      <c r="S22" s="69">
        <f>SUMIF('Budget Detail &amp; Amendments'!E130:E153, 'Budget Roll-Up'!R22, 'Budget Detail &amp; Amendments'!V130:V153)</f>
        <v>19954</v>
      </c>
    </row>
    <row r="23" spans="1:19" x14ac:dyDescent="0.25">
      <c r="A23" s="5">
        <v>18</v>
      </c>
      <c r="B23" s="9" t="s">
        <v>21</v>
      </c>
      <c r="C23" s="69">
        <f>SUMIF('Budget Detail &amp; Amendments'!E130:E147, 'Budget Roll-Up'!B23, 'Budget Detail &amp; Amendments'!O130:O147)</f>
        <v>350</v>
      </c>
      <c r="E23" s="5">
        <v>18</v>
      </c>
      <c r="F23" s="9" t="s">
        <v>21</v>
      </c>
      <c r="G23" s="69">
        <f>SUMIF('Budget Detail &amp; Amendments'!E130:E147, 'Budget Roll-Up'!F23, 'Budget Detail &amp; Amendments'!P130:P147)</f>
        <v>350</v>
      </c>
      <c r="I23" s="5">
        <v>18</v>
      </c>
      <c r="J23" s="9" t="s">
        <v>21</v>
      </c>
      <c r="K23" s="69">
        <f ca="1">SUMIF('Budget Detail &amp; Amendments'!E130:E153, 'Budget Roll-Up'!J23, 'Budget Detail &amp; Amendments'!R130:R148)</f>
        <v>350</v>
      </c>
      <c r="M23" s="5">
        <v>18</v>
      </c>
      <c r="N23" s="9" t="s">
        <v>21</v>
      </c>
      <c r="O23" s="69">
        <f ca="1">SUMIF('Budget Detail &amp; Amendments'!E130:E537, 'Budget Roll-Up'!N23, 'Budget Detail &amp; Amendments'!T130:T153)</f>
        <v>250</v>
      </c>
      <c r="Q23" s="5">
        <v>18</v>
      </c>
      <c r="R23" s="9" t="s">
        <v>21</v>
      </c>
      <c r="S23" s="69">
        <f ca="1">SUMIF('Budget Detail &amp; Amendments'!E130:IE153, 'Budget Roll-Up'!R23, 'Budget Detail &amp; Amendments'!V130:V153)</f>
        <v>250</v>
      </c>
    </row>
    <row r="24" spans="1:19" x14ac:dyDescent="0.25">
      <c r="A24" s="7">
        <v>19</v>
      </c>
      <c r="B24" s="8" t="s">
        <v>22</v>
      </c>
      <c r="C24" s="69">
        <f>SUM(C10:C23)</f>
        <v>115115.93799999999</v>
      </c>
      <c r="E24" s="7">
        <v>19</v>
      </c>
      <c r="F24" s="8" t="s">
        <v>22</v>
      </c>
      <c r="G24" s="69">
        <f>SUM(G10:G23)</f>
        <v>116161.93799999999</v>
      </c>
      <c r="I24" s="7">
        <v>19</v>
      </c>
      <c r="J24" s="8" t="s">
        <v>22</v>
      </c>
      <c r="K24" s="69">
        <f ca="1">SUM(K10:K23)</f>
        <v>158079.37799999997</v>
      </c>
      <c r="M24" s="7">
        <v>19</v>
      </c>
      <c r="N24" s="8" t="s">
        <v>22</v>
      </c>
      <c r="O24" s="69">
        <f ca="1">SUM(O10:O23)</f>
        <v>160935.378</v>
      </c>
      <c r="Q24" s="7">
        <v>19</v>
      </c>
      <c r="R24" s="8" t="s">
        <v>22</v>
      </c>
      <c r="S24" s="69">
        <f ca="1">SUM(S10:S23)</f>
        <v>169476.378</v>
      </c>
    </row>
    <row r="25" spans="1:19" x14ac:dyDescent="0.25">
      <c r="C25" s="71"/>
      <c r="G25" s="71"/>
      <c r="K25" s="71"/>
      <c r="O25" s="71"/>
    </row>
    <row r="26" spans="1:19" x14ac:dyDescent="0.25">
      <c r="A26" s="10">
        <v>20</v>
      </c>
      <c r="B26" s="8" t="s">
        <v>23</v>
      </c>
      <c r="C26" s="69">
        <f>'Budget Detail &amp; Amendments'!O178</f>
        <v>10513.66</v>
      </c>
      <c r="E26" s="10">
        <v>20</v>
      </c>
      <c r="F26" s="8" t="s">
        <v>23</v>
      </c>
      <c r="G26" s="69">
        <f>'Budget Detail &amp; Amendments'!P178</f>
        <v>10565.955775</v>
      </c>
      <c r="I26" s="10">
        <v>20</v>
      </c>
      <c r="J26" s="8" t="s">
        <v>23</v>
      </c>
      <c r="K26" s="69">
        <f>SUM('Budget Detail &amp; Amendments'!R178)</f>
        <v>11139.22</v>
      </c>
      <c r="M26" s="10">
        <v>20</v>
      </c>
      <c r="N26" s="8" t="s">
        <v>23</v>
      </c>
      <c r="O26" s="69">
        <f>SUM('Budget Detail &amp; Amendments'!T178)</f>
        <v>11139.22</v>
      </c>
      <c r="Q26" s="10">
        <v>20</v>
      </c>
      <c r="R26" s="8" t="s">
        <v>23</v>
      </c>
      <c r="S26" s="69">
        <f>SUM('Budget Detail &amp; Amendments'!V178)</f>
        <v>10663.562275000002</v>
      </c>
    </row>
    <row r="27" spans="1:19" x14ac:dyDescent="0.25">
      <c r="A27" s="1"/>
      <c r="B27" s="1"/>
      <c r="C27" s="71"/>
      <c r="E27" s="1"/>
      <c r="F27" s="1"/>
      <c r="G27" s="71"/>
      <c r="I27" s="1"/>
      <c r="J27" s="1"/>
      <c r="K27" s="71"/>
      <c r="M27" s="1"/>
      <c r="N27" s="1"/>
      <c r="O27" s="71"/>
    </row>
    <row r="28" spans="1:19" x14ac:dyDescent="0.25">
      <c r="A28" s="7">
        <v>21</v>
      </c>
      <c r="B28" s="8" t="s">
        <v>24</v>
      </c>
      <c r="C28" s="69">
        <f>'Budget Detail &amp; Amendments'!O174</f>
        <v>106693.59</v>
      </c>
      <c r="E28" s="7">
        <v>21</v>
      </c>
      <c r="F28" s="8" t="s">
        <v>24</v>
      </c>
      <c r="G28" s="69">
        <f>SUM('Budget Detail &amp; Amendments'!P174)</f>
        <v>105595.29</v>
      </c>
      <c r="I28" s="7">
        <v>21</v>
      </c>
      <c r="J28" s="8" t="s">
        <v>24</v>
      </c>
      <c r="K28" s="69">
        <f>SUM('Budget Detail &amp; Amendments'!R174)</f>
        <v>93557.489999999991</v>
      </c>
      <c r="M28" s="7">
        <v>21</v>
      </c>
      <c r="N28" s="8" t="s">
        <v>24</v>
      </c>
      <c r="O28" s="69">
        <f>SUM('Budget Detail &amp; Amendments'!T174)</f>
        <v>93557.489999999991</v>
      </c>
      <c r="Q28" s="7">
        <v>21</v>
      </c>
      <c r="R28" s="8" t="s">
        <v>24</v>
      </c>
      <c r="S28" s="69">
        <f>SUM('Budget Detail &amp; Amendments'!V174)</f>
        <v>85492.549999999988</v>
      </c>
    </row>
    <row r="29" spans="1:19" x14ac:dyDescent="0.25">
      <c r="A29" s="2"/>
      <c r="B29" s="1"/>
      <c r="C29" s="71"/>
      <c r="E29" s="2"/>
      <c r="F29" s="1"/>
      <c r="G29" s="71"/>
      <c r="I29" s="2"/>
      <c r="J29" s="1"/>
      <c r="K29" s="71"/>
      <c r="M29" s="2"/>
      <c r="N29" s="1"/>
      <c r="O29" s="71"/>
    </row>
    <row r="30" spans="1:19" x14ac:dyDescent="0.25">
      <c r="A30" s="7">
        <v>22</v>
      </c>
      <c r="B30" s="8" t="s">
        <v>25</v>
      </c>
      <c r="C30" s="69">
        <f>SUM(C7,C24,C26,C28)</f>
        <v>327480.36549999996</v>
      </c>
      <c r="E30" s="7">
        <v>22</v>
      </c>
      <c r="F30" s="8" t="s">
        <v>25</v>
      </c>
      <c r="G30" s="69">
        <f>SUM(G7,G24,G26,G28)</f>
        <v>327480.36127499997</v>
      </c>
      <c r="I30" s="7">
        <v>22</v>
      </c>
      <c r="J30" s="8" t="s">
        <v>25</v>
      </c>
      <c r="K30" s="69">
        <f ca="1">SUM(K7,K24,K26,K28)</f>
        <v>327480.35549999995</v>
      </c>
      <c r="M30" s="7">
        <v>22</v>
      </c>
      <c r="N30" s="8" t="s">
        <v>25</v>
      </c>
      <c r="O30" s="69">
        <f ca="1">SUM(O7,O24,O26,O28)</f>
        <v>327480.35549999995</v>
      </c>
      <c r="Q30" s="7">
        <v>22</v>
      </c>
      <c r="R30" s="8" t="s">
        <v>25</v>
      </c>
      <c r="S30" s="69">
        <f ca="1">SUM(S7,S24,S26,S28)</f>
        <v>327480.35777500004</v>
      </c>
    </row>
    <row r="33" spans="1:7" ht="15.75" thickBot="1" x14ac:dyDescent="0.3"/>
    <row r="34" spans="1:7" ht="15" customHeight="1" thickBot="1" x14ac:dyDescent="0.3">
      <c r="A34" s="377" t="s">
        <v>115</v>
      </c>
      <c r="B34" s="378"/>
      <c r="C34" s="378"/>
      <c r="D34" s="378"/>
      <c r="E34" s="378"/>
      <c r="F34" s="378"/>
      <c r="G34" s="379"/>
    </row>
    <row r="35" spans="1:7" x14ac:dyDescent="0.25">
      <c r="A35" s="28"/>
      <c r="B35" s="16"/>
      <c r="C35" s="28"/>
      <c r="D35" s="28"/>
      <c r="E35" s="28"/>
      <c r="F35" s="28"/>
    </row>
    <row r="52" ht="15" customHeight="1" x14ac:dyDescent="0.25"/>
  </sheetData>
  <mergeCells count="20">
    <mergeCell ref="Q3:R3"/>
    <mergeCell ref="Q2:R2"/>
    <mergeCell ref="Q1:S1"/>
    <mergeCell ref="M3:N3"/>
    <mergeCell ref="M9:N9"/>
    <mergeCell ref="M1:O1"/>
    <mergeCell ref="A1:C1"/>
    <mergeCell ref="A2:B2"/>
    <mergeCell ref="A3:B3"/>
    <mergeCell ref="E1:G1"/>
    <mergeCell ref="I1:K1"/>
    <mergeCell ref="A34:G34"/>
    <mergeCell ref="E9:F9"/>
    <mergeCell ref="I9:J9"/>
    <mergeCell ref="M2:N2"/>
    <mergeCell ref="A9:B9"/>
    <mergeCell ref="I2:J2"/>
    <mergeCell ref="I3:J3"/>
    <mergeCell ref="E2:F2"/>
    <mergeCell ref="E3:F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A80" workbookViewId="0">
      <selection activeCell="N96" sqref="N96"/>
    </sheetView>
  </sheetViews>
  <sheetFormatPr defaultRowHeight="15.75" x14ac:dyDescent="0.25"/>
  <cols>
    <col min="1" max="1" width="22.5703125" style="115" customWidth="1"/>
    <col min="2" max="2" width="23.140625" style="1" customWidth="1"/>
    <col min="4" max="4" width="17.42578125" style="116" customWidth="1"/>
    <col min="5" max="5" width="1.85546875" customWidth="1"/>
    <col min="6" max="6" width="18.140625" style="117" customWidth="1"/>
    <col min="7" max="7" width="4.28515625" customWidth="1"/>
    <col min="8" max="8" width="17.85546875" style="116" customWidth="1"/>
    <col min="9" max="9" width="4.7109375" customWidth="1"/>
    <col min="10" max="10" width="18.28515625" style="116" customWidth="1"/>
    <col min="11" max="11" width="4.5703125" customWidth="1"/>
    <col min="12" max="12" width="21.7109375" customWidth="1"/>
  </cols>
  <sheetData>
    <row r="1" spans="1:12" s="160" customFormat="1" ht="18.75" x14ac:dyDescent="0.3">
      <c r="A1" s="159"/>
      <c r="B1" s="159"/>
      <c r="D1" s="161" t="s">
        <v>202</v>
      </c>
      <c r="E1" s="162"/>
      <c r="F1" s="163" t="s">
        <v>38</v>
      </c>
      <c r="G1" s="162"/>
      <c r="H1" s="161" t="s">
        <v>39</v>
      </c>
      <c r="I1" s="162"/>
      <c r="J1" s="161" t="s">
        <v>40</v>
      </c>
      <c r="L1" s="161" t="s">
        <v>552</v>
      </c>
    </row>
    <row r="3" spans="1:12" x14ac:dyDescent="0.25">
      <c r="A3" s="115" t="s">
        <v>167</v>
      </c>
      <c r="B3" s="1" t="str">
        <f>Narrative!H2</f>
        <v>Assistive Technology Assistant</v>
      </c>
      <c r="D3" s="116">
        <f ca="1">SUMIF('Budget Detail &amp; Amendments'!A:Q, 1, 'Budget Detail &amp; Amendments'!O:O)</f>
        <v>6997.567500000001</v>
      </c>
      <c r="F3" s="117">
        <f ca="1">SUMIF('Budget Detail &amp; Amendments'!A:Q, 1, 'Budget Detail &amp; Amendments'!P:P)</f>
        <v>6997.567500000001</v>
      </c>
      <c r="H3" s="116">
        <f ca="1">SUMIF('Budget Detail &amp; Amendments'!A:Q, 1, 'Budget Detail &amp; Amendments'!R:R)</f>
        <v>6997.567500000001</v>
      </c>
      <c r="J3" s="116">
        <f ca="1">SUMIF('Budget Detail &amp; Amendments'!A:Q, 1, 'Budget Detail &amp; Amendments'!T:T)</f>
        <v>6997.567500000001</v>
      </c>
      <c r="L3" s="116">
        <f ca="1">SUMIF('Budget Detail &amp; Amendments'!A:Q, 1, 'Budget Detail &amp; Amendments'!V:V)</f>
        <v>6997.567500000001</v>
      </c>
    </row>
    <row r="5" spans="1:12" x14ac:dyDescent="0.25">
      <c r="A5" s="115" t="s">
        <v>168</v>
      </c>
      <c r="B5" s="1" t="str">
        <f>Narrative!H35</f>
        <v>CIT Faculty</v>
      </c>
      <c r="D5" s="116">
        <f ca="1">SUMIF('Budget Detail &amp; Amendments'!A:Q, 2, 'Budget Detail &amp; Amendments'!O:O)</f>
        <v>43490.700000000004</v>
      </c>
      <c r="F5" s="117">
        <f ca="1">SUMIF('Budget Detail &amp; Amendments'!A:Q, 2, 'Budget Detail &amp; Amendments'!P:P)</f>
        <v>43490.700000000004</v>
      </c>
      <c r="H5" s="116">
        <f ca="1">SUMIF('Budget Detail &amp; Amendments'!A:Q, 2, 'Budget Detail &amp; Amendments'!R:R)</f>
        <v>43490.700000000004</v>
      </c>
      <c r="J5" s="116">
        <f ca="1">SUMIF('Budget Detail &amp; Amendments'!A:Q, 2, 'Budget Detail &amp; Amendments'!T:T)</f>
        <v>43490.700000000004</v>
      </c>
      <c r="L5" s="116">
        <f ca="1">SUMIF('Budget Detail &amp; Amendments'!A:Q, 2, 'Budget Detail &amp; Amendments'!V:V)</f>
        <v>43490.3</v>
      </c>
    </row>
    <row r="7" spans="1:12" x14ac:dyDescent="0.25">
      <c r="A7" s="115" t="s">
        <v>169</v>
      </c>
      <c r="B7" s="1" t="str">
        <f>Narrative!H68</f>
        <v>New Student Retention Coach</v>
      </c>
      <c r="D7" s="116">
        <f ca="1">SUMIF('Budget Detail &amp; Amendments'!A:Q, 3, 'Budget Detail &amp; Amendments'!O:O)</f>
        <v>29837.61</v>
      </c>
      <c r="F7" s="117">
        <f ca="1">SUMIF('Budget Detail &amp; Amendments'!A:Q, 3, 'Budget Detail &amp; Amendments'!P:P)</f>
        <v>29837.61</v>
      </c>
      <c r="H7" s="116">
        <f ca="1">SUMIF('Budget Detail &amp; Amendments'!A:Q, 3, 'Budget Detail &amp; Amendments'!R:R)</f>
        <v>4636</v>
      </c>
      <c r="J7" s="116">
        <f ca="1">SUMIF('Budget Detail &amp; Amendments'!A:Q, 3, 'Budget Detail &amp; Amendments'!T:T)</f>
        <v>4636</v>
      </c>
      <c r="L7" s="116">
        <f ca="1">SUMIF('Budget Detail &amp; Amendments'!A:Q, 3, 'Budget Detail &amp; Amendments'!V:V)</f>
        <v>4636</v>
      </c>
    </row>
    <row r="9" spans="1:12" x14ac:dyDescent="0.25">
      <c r="A9" s="115" t="s">
        <v>170</v>
      </c>
      <c r="B9" s="1" t="str">
        <f>Narrative!H101</f>
        <v>CCNA certification</v>
      </c>
      <c r="D9" s="116">
        <f ca="1">SUMIF('Budget Detail &amp; Amendments'!A:Q, 4, 'Budget Detail &amp; Amendments'!O:O)</f>
        <v>5950</v>
      </c>
      <c r="F9" s="117">
        <f ca="1">SUMIF('Budget Detail &amp; Amendments'!A:Q, 4, 'Budget Detail &amp; Amendments'!P:P)</f>
        <v>5950</v>
      </c>
      <c r="H9" s="116">
        <f ca="1">SUMIF('Budget Detail &amp; Amendments'!A:Q, 4, 'Budget Detail &amp; Amendments'!R:R)</f>
        <v>5950</v>
      </c>
      <c r="J9" s="116">
        <f ca="1">SUMIF('Budget Detail &amp; Amendments'!A:Q, 4, 'Budget Detail &amp; Amendments'!T:T)</f>
        <v>5950</v>
      </c>
      <c r="L9" s="116">
        <f ca="1">SUMIF('Budget Detail &amp; Amendments'!A:Q, 4, 'Budget Detail &amp; Amendments'!V:V)</f>
        <v>5950</v>
      </c>
    </row>
    <row r="11" spans="1:12" x14ac:dyDescent="0.25">
      <c r="A11" s="115" t="s">
        <v>171</v>
      </c>
      <c r="B11" s="1" t="str">
        <f>Narrative!H134</f>
        <v>CIT adjunct faculty</v>
      </c>
      <c r="D11" s="116">
        <f ca="1">SUMIF('Budget Detail &amp; Amendments'!A:Q, 5, 'Budget Detail &amp; Amendments'!O:O)</f>
        <v>5251.3</v>
      </c>
      <c r="F11" s="117">
        <f ca="1">SUMIF('Budget Detail &amp; Amendments'!A:Q, 5, 'Budget Detail &amp; Amendments'!P:P)</f>
        <v>5251.3</v>
      </c>
      <c r="H11" s="116">
        <f ca="1">SUMIF('Budget Detail &amp; Amendments'!A:Q, 5, 'Budget Detail &amp; Amendments'!R:R)</f>
        <v>0</v>
      </c>
      <c r="J11" s="116">
        <f ca="1">SUMIF('Budget Detail &amp; Amendments'!A:Q, 5, 'Budget Detail &amp; Amendments'!T:T)</f>
        <v>0</v>
      </c>
      <c r="L11" s="116">
        <f ca="1">SUMIF('Budget Detail &amp; Amendments'!A:Q, 5, 'Budget Detail &amp; Amendments'!V:V)</f>
        <v>0</v>
      </c>
    </row>
    <row r="13" spans="1:12" x14ac:dyDescent="0.25">
      <c r="A13" s="115" t="s">
        <v>172</v>
      </c>
      <c r="B13" s="1" t="str">
        <f>Narrative!H167</f>
        <v>Community College Cyber Summit</v>
      </c>
      <c r="D13" s="116">
        <f ca="1">SUMIF('Budget Detail &amp; Amendments'!A:Q, 6, 'Budget Detail &amp; Amendments'!O:O)</f>
        <v>1730</v>
      </c>
      <c r="F13" s="117">
        <f ca="1">SUMIF('Budget Detail &amp; Amendments'!A:Q, 6, 'Budget Detail &amp; Amendments'!P:P)</f>
        <v>1730</v>
      </c>
      <c r="H13" s="116">
        <f ca="1">SUMIF('Budget Detail &amp; Amendments'!A:Q, 6, 'Budget Detail &amp; Amendments'!R:R)</f>
        <v>1730</v>
      </c>
      <c r="J13" s="116">
        <f ca="1">SUMIF('Budget Detail &amp; Amendments'!A:Q, 6, 'Budget Detail &amp; Amendments'!T:T)</f>
        <v>1730</v>
      </c>
      <c r="L13" s="116">
        <f ca="1">SUMIF('Budget Detail &amp; Amendments'!A:Q, 6, 'Budget Detail &amp; Amendments'!V:V)</f>
        <v>1730</v>
      </c>
    </row>
    <row r="15" spans="1:12" x14ac:dyDescent="0.25">
      <c r="A15" s="115" t="s">
        <v>173</v>
      </c>
      <c r="B15" s="1" t="str">
        <f>Narrative!H200</f>
        <v>Computer Science Summit</v>
      </c>
      <c r="D15" s="116">
        <f ca="1">SUMIF('Budget Detail &amp; Amendments'!A:Q, 7, 'Budget Detail &amp; Amendments'!O:O)</f>
        <v>1018</v>
      </c>
      <c r="F15" s="117">
        <f ca="1">SUMIF('Budget Detail &amp; Amendments'!A:Q, 7, 'Budget Detail &amp; Amendments'!P:P)</f>
        <v>1018</v>
      </c>
      <c r="H15" s="116">
        <f ca="1">SUMIF('Budget Detail &amp; Amendments'!A:Q, 7, 'Budget Detail &amp; Amendments'!R:R)</f>
        <v>0</v>
      </c>
      <c r="J15" s="116">
        <f ca="1">SUMIF('Budget Detail &amp; Amendments'!A:Q, 7, 'Budget Detail &amp; Amendments'!T:T)</f>
        <v>0</v>
      </c>
      <c r="L15" s="116">
        <f ca="1">SUMIF('Budget Detail &amp; Amendments'!A:Q, 7, 'Budget Detail &amp; Amendments'!V:V)</f>
        <v>0</v>
      </c>
    </row>
    <row r="17" spans="1:12" x14ac:dyDescent="0.25">
      <c r="A17" s="115" t="s">
        <v>174</v>
      </c>
      <c r="B17" s="1" t="str">
        <f>Narrative!H233</f>
        <v>Online Accounting Courses</v>
      </c>
      <c r="D17" s="116">
        <f ca="1">SUMIF('Budget Detail &amp; Amendments'!A:Q, 8, 'Budget Detail &amp; Amendments'!O:O)</f>
        <v>457</v>
      </c>
      <c r="F17" s="117">
        <f ca="1">SUMIF('Budget Detail &amp; Amendments'!A:Q, 8, 'Budget Detail &amp; Amendments'!P:P)</f>
        <v>457</v>
      </c>
      <c r="H17" s="116">
        <f ca="1">SUMIF('Budget Detail &amp; Amendments'!A:Q, 8, 'Budget Detail &amp; Amendments'!R:R)</f>
        <v>457</v>
      </c>
      <c r="J17" s="116">
        <f ca="1">SUMIF('Budget Detail &amp; Amendments'!A:Q, 8, 'Budget Detail &amp; Amendments'!T:T)</f>
        <v>457</v>
      </c>
      <c r="L17" s="116">
        <f ca="1">SUMIF('Budget Detail &amp; Amendments'!A:Q, 8, 'Budget Detail &amp; Amendments'!V:V)</f>
        <v>457</v>
      </c>
    </row>
    <row r="19" spans="1:12" x14ac:dyDescent="0.25">
      <c r="A19" s="115" t="s">
        <v>175</v>
      </c>
      <c r="B19" s="1" t="str">
        <f>Narrative!H266</f>
        <v>WASTC ICT conference</v>
      </c>
      <c r="D19" s="116">
        <f ca="1">SUMIF('Budget Detail &amp; Amendments'!A:Q, 9, 'Budget Detail &amp; Amendments'!O:O)</f>
        <v>1730</v>
      </c>
      <c r="F19" s="117">
        <f ca="1">SUMIF('Budget Detail &amp; Amendments'!A:Q, 9, 'Budget Detail &amp; Amendments'!P:P)</f>
        <v>1730</v>
      </c>
      <c r="H19" s="116">
        <f ca="1">SUMIF('Budget Detail &amp; Amendments'!A:Q, 9, 'Budget Detail &amp; Amendments'!R:R)</f>
        <v>1730</v>
      </c>
      <c r="J19" s="116">
        <f ca="1">SUMIF('Budget Detail &amp; Amendments'!A:Q, 9, 'Budget Detail &amp; Amendments'!T:T)</f>
        <v>1730</v>
      </c>
      <c r="L19" s="116">
        <f ca="1">SUMIF('Budget Detail &amp; Amendments'!A:Q, 9, 'Budget Detail &amp; Amendments'!V:V)</f>
        <v>1730</v>
      </c>
    </row>
    <row r="21" spans="1:12" x14ac:dyDescent="0.25">
      <c r="A21" s="115" t="s">
        <v>176</v>
      </c>
      <c r="B21" s="1" t="str">
        <f>Narrative!H299</f>
        <v>Dental Assistant Laptops</v>
      </c>
      <c r="D21" s="116">
        <f ca="1">SUMIF('Budget Detail &amp; Amendments'!A:Q, 10, 'Budget Detail &amp; Amendments'!O:O)</f>
        <v>6000</v>
      </c>
      <c r="F21" s="117">
        <f ca="1">SUMIF('Budget Detail &amp; Amendments'!A:Q, 10, 'Budget Detail &amp; Amendments'!P:P)</f>
        <v>6000</v>
      </c>
      <c r="H21" s="116">
        <f ca="1">SUMIF('Budget Detail &amp; Amendments'!A:Q, 10, 'Budget Detail &amp; Amendments'!R:R)</f>
        <v>6000</v>
      </c>
      <c r="J21" s="116">
        <f ca="1">SUMIF('Budget Detail &amp; Amendments'!A:Q, 10, 'Budget Detail &amp; Amendments'!T:T)</f>
        <v>6000</v>
      </c>
      <c r="L21" s="116">
        <f ca="1">SUMIF('Budget Detail &amp; Amendments'!A:Q, 10, 'Budget Detail &amp; Amendments'!V:V)</f>
        <v>3946</v>
      </c>
    </row>
    <row r="23" spans="1:12" x14ac:dyDescent="0.25">
      <c r="A23" s="115" t="s">
        <v>177</v>
      </c>
      <c r="B23" s="1" t="str">
        <f>Narrative!H332</f>
        <v>Birthing simulator</v>
      </c>
      <c r="D23" s="116">
        <f ca="1">SUMIF('Budget Detail &amp; Amendments'!A:Q, 11, 'Budget Detail &amp; Amendments'!O:O)</f>
        <v>77366</v>
      </c>
      <c r="F23" s="117">
        <f ca="1">SUMIF('Budget Detail &amp; Amendments'!A:Q, 11, 'Budget Detail &amp; Amendments'!P:P)</f>
        <v>76267.7</v>
      </c>
      <c r="H23" s="116">
        <f ca="1">SUMIF('Budget Detail &amp; Amendments'!A:Q, 11, 'Budget Detail &amp; Amendments'!R:R)</f>
        <v>81841.489999999991</v>
      </c>
      <c r="J23" s="116">
        <f ca="1">SUMIF('Budget Detail &amp; Amendments'!A:Q, 11, 'Budget Detail &amp; Amendments'!T:T)</f>
        <v>81841.489999999991</v>
      </c>
      <c r="L23" s="116">
        <f ca="1">SUMIF('Budget Detail &amp; Amendments'!A:Q, 11, 'Budget Detail &amp; Amendments'!V:V)</f>
        <v>82446.489999999991</v>
      </c>
    </row>
    <row r="25" spans="1:12" x14ac:dyDescent="0.25">
      <c r="A25" s="115" t="s">
        <v>178</v>
      </c>
      <c r="B25" s="1" t="str">
        <f>Narrative!H365</f>
        <v>PTA Neurologic Course</v>
      </c>
      <c r="D25" s="116">
        <f ca="1">SUMIF('Budget Detail &amp; Amendments'!A:Q, 12, 'Budget Detail &amp; Amendments'!O:O)</f>
        <v>1715</v>
      </c>
      <c r="F25" s="117">
        <f ca="1">SUMIF('Budget Detail &amp; Amendments'!A:Q, 12, 'Budget Detail &amp; Amendments'!P:P)</f>
        <v>1715</v>
      </c>
      <c r="H25" s="116">
        <f ca="1">SUMIF('Budget Detail &amp; Amendments'!A:Q, 12, 'Budget Detail &amp; Amendments'!R:R)</f>
        <v>0</v>
      </c>
      <c r="J25" s="116">
        <f ca="1">SUMIF('Budget Detail &amp; Amendments'!A:Q, 12, 'Budget Detail &amp; Amendments'!T:T)</f>
        <v>0</v>
      </c>
      <c r="L25" s="116">
        <f ca="1">SUMIF('Budget Detail &amp; Amendments'!A:Q, 12, 'Budget Detail &amp; Amendments'!V:V)</f>
        <v>0</v>
      </c>
    </row>
    <row r="27" spans="1:12" x14ac:dyDescent="0.25">
      <c r="A27" s="115" t="s">
        <v>179</v>
      </c>
      <c r="B27" s="1" t="str">
        <f>Narrative!H398</f>
        <v>Respiratory Nasal Cannula</v>
      </c>
      <c r="D27" s="116">
        <f ca="1">SUMIF('Budget Detail &amp; Amendments'!A:Q, 13, 'Budget Detail &amp; Amendments'!O:O)</f>
        <v>6417.87</v>
      </c>
      <c r="F27" s="117">
        <f ca="1">SUMIF('Budget Detail &amp; Amendments'!A:Q, 13, 'Budget Detail &amp; Amendments'!P:P)</f>
        <v>6417.87</v>
      </c>
      <c r="H27" s="116">
        <f ca="1">SUMIF('Budget Detail &amp; Amendments'!A:Q, 13, 'Budget Detail &amp; Amendments'!R:R)</f>
        <v>4247.87</v>
      </c>
      <c r="J27" s="116">
        <f ca="1">SUMIF('Budget Detail &amp; Amendments'!A:Q, 13, 'Budget Detail &amp; Amendments'!T:T)</f>
        <v>4247.87</v>
      </c>
      <c r="L27" s="116">
        <f ca="1">SUMIF('Budget Detail &amp; Amendments'!A:Q, 13, 'Budget Detail &amp; Amendments'!V:V)</f>
        <v>4247.87</v>
      </c>
    </row>
    <row r="29" spans="1:12" x14ac:dyDescent="0.25">
      <c r="A29" s="115" t="s">
        <v>180</v>
      </c>
      <c r="B29" s="1" t="str">
        <f>Narrative!H431</f>
        <v>Respiratory Ventilator</v>
      </c>
      <c r="D29" s="116">
        <f ca="1">SUMIF('Budget Detail &amp; Amendments'!A:Q, 14, 'Budget Detail &amp; Amendments'!O:O)</f>
        <v>10237.879999999999</v>
      </c>
      <c r="F29" s="117">
        <f ca="1">SUMIF('Budget Detail &amp; Amendments'!A:Q, 14, 'Budget Detail &amp; Amendments'!P:P)</f>
        <v>10237.879999999999</v>
      </c>
      <c r="H29" s="116">
        <f ca="1">SUMIF('Budget Detail &amp; Amendments'!A:Q, 14, 'Budget Detail &amp; Amendments'!R:R)</f>
        <v>9314</v>
      </c>
      <c r="J29" s="116">
        <f ca="1">SUMIF('Budget Detail &amp; Amendments'!A:Q, 14, 'Budget Detail &amp; Amendments'!T:T)</f>
        <v>9314</v>
      </c>
      <c r="L29" s="116">
        <f ca="1">SUMIF('Budget Detail &amp; Amendments'!A:Q, 14, 'Budget Detail &amp; Amendments'!V:V)</f>
        <v>9314</v>
      </c>
    </row>
    <row r="31" spans="1:12" x14ac:dyDescent="0.25">
      <c r="A31" s="115" t="s">
        <v>181</v>
      </c>
      <c r="B31" s="1" t="str">
        <f>Narrative!H464</f>
        <v>Respiratory Vibramatic Percussor</v>
      </c>
      <c r="D31" s="116">
        <f ca="1">SUMIF('Budget Detail &amp; Amendments'!A:Q, 15, 'Budget Detail &amp; Amendments'!O:O)</f>
        <v>2500</v>
      </c>
      <c r="F31" s="117">
        <f ca="1">SUMIF('Budget Detail &amp; Amendments'!A:Q, 15, 'Budget Detail &amp; Amendments'!P:P)</f>
        <v>2500</v>
      </c>
      <c r="H31" s="116">
        <f ca="1">SUMIF('Budget Detail &amp; Amendments'!A:Q, 15, 'Budget Detail &amp; Amendments'!R:R)</f>
        <v>2500</v>
      </c>
      <c r="J31" s="116">
        <f ca="1">SUMIF('Budget Detail &amp; Amendments'!A:Q, 15, 'Budget Detail &amp; Amendments'!T:T)</f>
        <v>2500</v>
      </c>
      <c r="L31" s="116">
        <f ca="1">SUMIF('Budget Detail &amp; Amendments'!A:Q, 15, 'Budget Detail &amp; Amendments'!V:V)</f>
        <v>2500</v>
      </c>
    </row>
    <row r="33" spans="1:12" x14ac:dyDescent="0.25">
      <c r="A33" s="115" t="s">
        <v>182</v>
      </c>
      <c r="B33" s="1" t="str">
        <f>Narrative!H497</f>
        <v>SIM Hospital AV upgrade</v>
      </c>
      <c r="D33" s="116">
        <f ca="1">SUMIF('Budget Detail &amp; Amendments'!A:Q, 16, 'Budget Detail &amp; Amendments'!O:O)</f>
        <v>10750</v>
      </c>
      <c r="F33" s="117">
        <f ca="1">SUMIF('Budget Detail &amp; Amendments'!A:Q, 16, 'Budget Detail &amp; Amendments'!P:P)</f>
        <v>10750</v>
      </c>
      <c r="H33" s="116">
        <f ca="1">SUMIF('Budget Detail &amp; Amendments'!A:Q, 16, 'Budget Detail &amp; Amendments'!R:R)</f>
        <v>11750</v>
      </c>
      <c r="J33" s="116">
        <f ca="1">SUMIF('Budget Detail &amp; Amendments'!A:Q, 16, 'Budget Detail &amp; Amendments'!T:T)</f>
        <v>11750</v>
      </c>
      <c r="L33" s="116">
        <f ca="1">SUMIF('Budget Detail &amp; Amendments'!A:Q, 16, 'Budget Detail &amp; Amendments'!V:V)</f>
        <v>11750</v>
      </c>
    </row>
    <row r="35" spans="1:12" x14ac:dyDescent="0.25">
      <c r="A35" s="115" t="s">
        <v>183</v>
      </c>
      <c r="B35" s="1" t="str">
        <f>Narrative!H530</f>
        <v>Welding/Fabrication tooling for Break and Pipe Bender</v>
      </c>
      <c r="D35" s="116">
        <f ca="1">SUMIF('Budget Detail &amp; Amendments'!A:Q, 17, 'Budget Detail &amp; Amendments'!O:O)</f>
        <v>18949</v>
      </c>
      <c r="F35" s="117">
        <f ca="1">SUMIF('Budget Detail &amp; Amendments'!A:Q, 17, 'Budget Detail &amp; Amendments'!P:P)</f>
        <v>18949</v>
      </c>
      <c r="H35" s="116">
        <f ca="1">SUMIF('Budget Detail &amp; Amendments'!A:Q, 17, 'Budget Detail &amp; Amendments'!R:R)</f>
        <v>18949</v>
      </c>
      <c r="J35" s="116">
        <f ca="1">SUMIF('Budget Detail &amp; Amendments'!A:Q, 17, 'Budget Detail &amp; Amendments'!T:T)</f>
        <v>18949</v>
      </c>
      <c r="L35" s="116">
        <f ca="1">SUMIF('Budget Detail &amp; Amendments'!A:Q, 17, 'Budget Detail &amp; Amendments'!V:V)</f>
        <v>18949</v>
      </c>
    </row>
    <row r="37" spans="1:12" x14ac:dyDescent="0.25">
      <c r="A37" s="115" t="s">
        <v>184</v>
      </c>
      <c r="B37" s="1" t="str">
        <f>Narrative!H563</f>
        <v>Welding ITW Conference</v>
      </c>
      <c r="D37" s="116">
        <f ca="1">SUMIF('Budget Detail &amp; Amendments'!A:Q, 18, 'Budget Detail &amp; Amendments'!O:O)</f>
        <v>5592</v>
      </c>
      <c r="F37" s="117">
        <f ca="1">SUMIF('Budget Detail &amp; Amendments'!A:Q, 18, 'Budget Detail &amp; Amendments'!P:P)</f>
        <v>5592</v>
      </c>
      <c r="H37" s="116">
        <f ca="1">SUMIF('Budget Detail &amp; Amendments'!A:Q, 18, 'Budget Detail &amp; Amendments'!R:R)</f>
        <v>2796</v>
      </c>
      <c r="J37" s="116">
        <f ca="1">SUMIF('Budget Detail &amp; Amendments'!A:Q, 18, 'Budget Detail &amp; Amendments'!T:T)</f>
        <v>2796</v>
      </c>
      <c r="L37" s="116">
        <f ca="1">SUMIF('Budget Detail &amp; Amendments'!A:Q, 18, 'Budget Detail &amp; Amendments'!V:V)</f>
        <v>2796</v>
      </c>
    </row>
    <row r="39" spans="1:12" x14ac:dyDescent="0.25">
      <c r="A39" s="115" t="s">
        <v>185</v>
      </c>
      <c r="B39" s="1" t="str">
        <f>Narrative!H596</f>
        <v>MT ACTE Conference</v>
      </c>
      <c r="D39" s="116">
        <f ca="1">SUMIF('Budget Detail &amp; Amendments'!A:Q, 19, 'Budget Detail &amp; Amendments'!O:O)</f>
        <v>1442.7080000000001</v>
      </c>
      <c r="F39" s="117">
        <f ca="1">SUMIF('Budget Detail &amp; Amendments'!A:Q, 19, 'Budget Detail &amp; Amendments'!P:P)</f>
        <v>1442.7080000000001</v>
      </c>
      <c r="H39" s="116">
        <f ca="1">SUMIF('Budget Detail &amp; Amendments'!A:Q, 19, 'Budget Detail &amp; Amendments'!R:R)</f>
        <v>1442.7080000000001</v>
      </c>
      <c r="J39" s="116">
        <f ca="1">SUMIF('Budget Detail &amp; Amendments'!A:Q, 19, 'Budget Detail &amp; Amendments'!T:T)</f>
        <v>1442.7080000000001</v>
      </c>
      <c r="L39" s="116">
        <f ca="1">SUMIF('Budget Detail &amp; Amendments'!A:Q, 19, 'Budget Detail &amp; Amendments'!V:V)</f>
        <v>1442.7080000000001</v>
      </c>
    </row>
    <row r="41" spans="1:12" x14ac:dyDescent="0.25">
      <c r="A41" s="115" t="s">
        <v>186</v>
      </c>
      <c r="B41" s="1" t="str">
        <f>Narrative!H629</f>
        <v>Perkins state meeting</v>
      </c>
      <c r="D41" s="116">
        <f ca="1">SUMIF('Budget Detail &amp; Amendments'!A:Q, 20, 'Budget Detail &amp; Amendments'!O:O)</f>
        <v>268</v>
      </c>
      <c r="F41" s="117">
        <f ca="1">SUMIF('Budget Detail &amp; Amendments'!A:Q, 20, 'Budget Detail &amp; Amendments'!P:P)</f>
        <v>268</v>
      </c>
      <c r="H41" s="116">
        <f ca="1">SUMIF('Budget Detail &amp; Amendments'!A:Q, 20, 'Budget Detail &amp; Amendments'!R:R)</f>
        <v>268</v>
      </c>
      <c r="J41" s="116">
        <f ca="1">SUMIF('Budget Detail &amp; Amendments'!A:Q, 20, 'Budget Detail &amp; Amendments'!T:T)</f>
        <v>268</v>
      </c>
      <c r="L41" s="116">
        <f ca="1">SUMIF('Budget Detail &amp; Amendments'!A:Q, 20, 'Budget Detail &amp; Amendments'!V:V)</f>
        <v>268</v>
      </c>
    </row>
    <row r="43" spans="1:12" x14ac:dyDescent="0.25">
      <c r="A43" s="115" t="s">
        <v>187</v>
      </c>
      <c r="B43" s="1" t="str">
        <f>Narrative!H662</f>
        <v xml:space="preserve">CIT Faculty Stipend </v>
      </c>
      <c r="D43" s="116">
        <f ca="1">SUMIF('Budget Detail &amp; Amendments'!A:Q, 21, 'Budget Detail &amp; Amendments'!O:O)</f>
        <v>2678</v>
      </c>
      <c r="F43" s="117">
        <f ca="1">SUMIF('Budget Detail &amp; Amendments'!A:Q, 21, 'Budget Detail &amp; Amendments'!P:P)</f>
        <v>2678</v>
      </c>
      <c r="H43" s="116">
        <f ca="1">SUMIF('Budget Detail &amp; Amendments'!A:Q, 21, 'Budget Detail &amp; Amendments'!R:R)</f>
        <v>2678</v>
      </c>
      <c r="J43" s="116">
        <f ca="1">SUMIF('Budget Detail &amp; Amendments'!A:Q, 21, 'Budget Detail &amp; Amendments'!T:T)</f>
        <v>2678</v>
      </c>
      <c r="L43" s="116">
        <f ca="1">SUMIF('Budget Detail &amp; Amendments'!A:Q, 21, 'Budget Detail &amp; Amendments'!V:V)</f>
        <v>2678</v>
      </c>
    </row>
    <row r="45" spans="1:12" x14ac:dyDescent="0.25">
      <c r="A45" s="115" t="s">
        <v>188</v>
      </c>
      <c r="B45" s="1" t="str">
        <f>Narrative!H695</f>
        <v>Teaching w Technology conference</v>
      </c>
      <c r="D45" s="116">
        <f ca="1">SUMIF('Budget Detail &amp; Amendments'!A:Q, 22, 'Budget Detail &amp; Amendments'!O:O)</f>
        <v>2168</v>
      </c>
      <c r="F45" s="117">
        <f ca="1">SUMIF('Budget Detail &amp; Amendments'!A:Q, 22, 'Budget Detail &amp; Amendments'!P:P)</f>
        <v>2168</v>
      </c>
      <c r="H45" s="116">
        <f ca="1">SUMIF('Budget Detail &amp; Amendments'!A:Q, 22, 'Budget Detail &amp; Amendments'!R:R)</f>
        <v>2168</v>
      </c>
      <c r="J45" s="116">
        <f ca="1">SUMIF('Budget Detail &amp; Amendments'!A:Q, 22, 'Budget Detail &amp; Amendments'!T:T)</f>
        <v>2168</v>
      </c>
      <c r="L45" s="116">
        <f ca="1">SUMIF('Budget Detail &amp; Amendments'!A:Q, 22, 'Budget Detail &amp; Amendments'!V:V)</f>
        <v>2168</v>
      </c>
    </row>
    <row r="47" spans="1:12" x14ac:dyDescent="0.25">
      <c r="A47" s="115" t="s">
        <v>189</v>
      </c>
      <c r="B47" s="1" t="str">
        <f>Narrative!H728</f>
        <v>PTA Combined Sessions Conference</v>
      </c>
      <c r="D47" s="116">
        <f ca="1">SUMIF('Budget Detail &amp; Amendments'!A:Q, 23, 'Budget Detail &amp; Amendments'!O:O)</f>
        <v>3176</v>
      </c>
      <c r="F47" s="117">
        <f ca="1">SUMIF('Budget Detail &amp; Amendments'!A:Q, 23, 'Budget Detail &amp; Amendments'!P:P)</f>
        <v>3176</v>
      </c>
      <c r="H47" s="116">
        <f ca="1">SUMIF('Budget Detail &amp; Amendments'!A:Q, 23, 'Budget Detail &amp; Amendments'!R:R)</f>
        <v>3176</v>
      </c>
      <c r="J47" s="116">
        <f ca="1">SUMIF('Budget Detail &amp; Amendments'!A:Q, 23, 'Budget Detail &amp; Amendments'!T:T)</f>
        <v>3176</v>
      </c>
      <c r="L47" s="116">
        <f ca="1">SUMIF('Budget Detail &amp; Amendments'!A:Q, 23, 'Budget Detail &amp; Amendments'!V:V)</f>
        <v>3176</v>
      </c>
    </row>
    <row r="49" spans="1:12" x14ac:dyDescent="0.25">
      <c r="A49" s="115" t="s">
        <v>190</v>
      </c>
      <c r="B49" s="1" t="str">
        <f>Narrative!H761</f>
        <v>Nursing Nuts and Bolts Conference</v>
      </c>
      <c r="D49" s="116">
        <f ca="1">SUMIF('Budget Detail &amp; Amendments'!A:Q, 24, 'Budget Detail &amp; Amendments'!O:O)</f>
        <v>8185</v>
      </c>
      <c r="F49" s="117">
        <f ca="1">SUMIF('Budget Detail &amp; Amendments'!A:Q, 24, 'Budget Detail &amp; Amendments'!P:P)</f>
        <v>6596</v>
      </c>
      <c r="H49" s="116">
        <f ca="1">SUMIF('Budget Detail &amp; Amendments'!A:Q, 24, 'Budget Detail &amp; Amendments'!R:R)</f>
        <v>4662</v>
      </c>
      <c r="J49" s="116">
        <f ca="1">SUMIF('Budget Detail &amp; Amendments'!A:Q, 24, 'Budget Detail &amp; Amendments'!T:T)</f>
        <v>4662</v>
      </c>
      <c r="L49" s="116">
        <f ca="1">SUMIF('Budget Detail &amp; Amendments'!A:Q, 24, 'Budget Detail &amp; Amendments'!V:V)</f>
        <v>4662</v>
      </c>
    </row>
    <row r="51" spans="1:12" x14ac:dyDescent="0.25">
      <c r="A51" s="115" t="s">
        <v>191</v>
      </c>
      <c r="B51" s="1" t="str">
        <f>Narrative!H794</f>
        <v>Teaching Science w Case Studies Conference</v>
      </c>
      <c r="D51" s="116">
        <f ca="1">SUMIF('Budget Detail &amp; Amendments'!A:Q, 25, 'Budget Detail &amp; Amendments'!O:O)</f>
        <v>3674</v>
      </c>
      <c r="F51" s="117">
        <f ca="1">SUMIF('Budget Detail &amp; Amendments'!A:Q, 25, 'Budget Detail &amp; Amendments'!P:P)</f>
        <v>3674</v>
      </c>
      <c r="H51" s="116">
        <f ca="1">SUMIF('Budget Detail &amp; Amendments'!A:Q, 25, 'Budget Detail &amp; Amendments'!R:R)</f>
        <v>3674</v>
      </c>
      <c r="J51" s="116">
        <f ca="1">SUMIF('Budget Detail &amp; Amendments'!A:Q, 25, 'Budget Detail &amp; Amendments'!T:T)</f>
        <v>3674</v>
      </c>
      <c r="L51" s="116">
        <f ca="1">SUMIF('Budget Detail &amp; Amendments'!A:Q, 25, 'Budget Detail &amp; Amendments'!V:V)</f>
        <v>3674</v>
      </c>
    </row>
    <row r="53" spans="1:12" x14ac:dyDescent="0.25">
      <c r="A53" s="115" t="s">
        <v>192</v>
      </c>
      <c r="B53" s="1" t="str">
        <f>Narrative!H827</f>
        <v>Trades Exploration for Girls</v>
      </c>
      <c r="D53" s="116">
        <f ca="1">SUMIF('Budget Detail &amp; Amendments'!A:Q, 26, 'Budget Detail &amp; Amendments'!O:O)</f>
        <v>4358.3</v>
      </c>
      <c r="F53" s="117">
        <f ca="1">SUMIF('Budget Detail &amp; Amendments'!A:Q, 26, 'Budget Detail &amp; Amendments'!P:P)</f>
        <v>4358.3</v>
      </c>
      <c r="H53" s="116">
        <f ca="1">SUMIF('Budget Detail &amp; Amendments'!A:Q, 26, 'Budget Detail &amp; Amendments'!R:R)</f>
        <v>4358.3</v>
      </c>
      <c r="J53" s="116">
        <f ca="1">SUMIF('Budget Detail &amp; Amendments'!A:Q, 26, 'Budget Detail &amp; Amendments'!T:T)</f>
        <v>4358.3</v>
      </c>
      <c r="L53" s="116">
        <f ca="1">SUMIF('Budget Detail &amp; Amendments'!A:Q, 26, 'Budget Detail &amp; Amendments'!V:V)</f>
        <v>4358.3</v>
      </c>
    </row>
    <row r="55" spans="1:12" x14ac:dyDescent="0.25">
      <c r="A55" s="115" t="s">
        <v>193</v>
      </c>
      <c r="B55" s="1" t="str">
        <f>Narrative!H860</f>
        <v>Mobile Welding Training</v>
      </c>
      <c r="D55" s="116">
        <f ca="1">SUMIF('Budget Detail &amp; Amendments'!A:Q, 27, 'Budget Detail &amp; Amendments'!O:O)</f>
        <v>3495.5</v>
      </c>
      <c r="F55" s="117">
        <f ca="1">SUMIF('Budget Detail &amp; Amendments'!A:Q, 27, 'Budget Detail &amp; Amendments'!P:P)</f>
        <v>3495.5</v>
      </c>
      <c r="H55" s="116">
        <f ca="1">SUMIF('Budget Detail &amp; Amendments'!A:Q, 27, 'Budget Detail &amp; Amendments'!R:R)</f>
        <v>3495.5</v>
      </c>
      <c r="J55" s="116">
        <f ca="1">SUMIF('Budget Detail &amp; Amendments'!A:Q, 27, 'Budget Detail &amp; Amendments'!T:T)</f>
        <v>3495.5</v>
      </c>
      <c r="L55" s="116">
        <f ca="1">SUMIF('Budget Detail &amp; Amendments'!A:Q, 27, 'Budget Detail &amp; Amendments'!V:V)</f>
        <v>3495.5</v>
      </c>
    </row>
    <row r="57" spans="1:12" x14ac:dyDescent="0.25">
      <c r="A57" s="115" t="s">
        <v>194</v>
      </c>
      <c r="B57" s="1" t="str">
        <f>Narrative!H893</f>
        <v>Plasma Cutting Table</v>
      </c>
      <c r="D57" s="116">
        <f ca="1">SUMIF('Budget Detail &amp; Amendments'!A:Q, 28, 'Budget Detail &amp; Amendments'!O:O)</f>
        <v>14611.84</v>
      </c>
      <c r="F57" s="117">
        <f ca="1">SUMIF('Budget Detail &amp; Amendments'!A:Q, 28, 'Budget Detail &amp; Amendments'!P:P)</f>
        <v>14611.84</v>
      </c>
      <c r="H57" s="116">
        <f ca="1">SUMIF('Budget Detail &amp; Amendments'!A:Q, 28, 'Budget Detail &amp; Amendments'!R:R)</f>
        <v>14962</v>
      </c>
      <c r="J57" s="116">
        <f ca="1">SUMIF('Budget Detail &amp; Amendments'!A:Q, 28, 'Budget Detail &amp; Amendments'!T:T)</f>
        <v>14962</v>
      </c>
      <c r="L57" s="116">
        <f ca="1">SUMIF('Budget Detail &amp; Amendments'!A:Q, 28, 'Budget Detail &amp; Amendments'!V:V)</f>
        <v>12245.06</v>
      </c>
    </row>
    <row r="59" spans="1:12" x14ac:dyDescent="0.25">
      <c r="A59" s="115" t="s">
        <v>195</v>
      </c>
      <c r="B59" s="1" t="str">
        <f>Narrative!H926</f>
        <v>NACTEI Conference</v>
      </c>
      <c r="D59" s="116">
        <f ca="1">SUMIF('Budget Detail &amp; Amendments'!A:Q, 29, 'Budget Detail &amp; Amendments'!O:O)</f>
        <v>2780</v>
      </c>
      <c r="F59" s="117">
        <f ca="1">SUMIF('Budget Detail &amp; Amendments'!A:Q, 29, 'Budget Detail &amp; Amendments'!P:P)</f>
        <v>2780</v>
      </c>
      <c r="H59" s="116">
        <f ca="1">SUMIF('Budget Detail &amp; Amendments'!A:Q, 29, 'Budget Detail &amp; Amendments'!R:R)</f>
        <v>2780</v>
      </c>
      <c r="J59" s="116">
        <f ca="1">SUMIF('Budget Detail &amp; Amendments'!A:Q, 29, 'Budget Detail &amp; Amendments'!T:T)</f>
        <v>2780</v>
      </c>
      <c r="L59" s="116">
        <f ca="1">SUMIF('Budget Detail &amp; Amendments'!A:Q, 29, 'Budget Detail &amp; Amendments'!V:V)</f>
        <v>2780</v>
      </c>
    </row>
    <row r="61" spans="1:12" x14ac:dyDescent="0.25">
      <c r="A61" s="115" t="s">
        <v>196</v>
      </c>
      <c r="B61" s="1" t="str">
        <f>Narrative!H959</f>
        <v>Cyber Patriot Cyber Camp</v>
      </c>
      <c r="D61" s="116">
        <f ca="1">SUMIF('Budget Detail &amp; Amendments'!A:Q, 30, 'Budget Detail &amp; Amendments'!O:O)</f>
        <v>3576</v>
      </c>
      <c r="F61" s="117">
        <f ca="1">SUMIF('Budget Detail &amp; Amendments'!A:Q, 30, 'Budget Detail &amp; Amendments'!P:P)</f>
        <v>3576</v>
      </c>
      <c r="H61" s="116">
        <f ca="1">SUMIF('Budget Detail &amp; Amendments'!A:Q, 30, 'Budget Detail &amp; Amendments'!R:R)</f>
        <v>3576</v>
      </c>
      <c r="J61" s="116">
        <f ca="1">SUMIF('Budget Detail &amp; Amendments'!A:Q, 30, 'Budget Detail &amp; Amendments'!T:T)</f>
        <v>3576</v>
      </c>
      <c r="L61" s="116">
        <f ca="1">SUMIF('Budget Detail &amp; Amendments'!A:Q, 30, 'Budget Detail &amp; Amendments'!V:V)</f>
        <v>3576</v>
      </c>
    </row>
    <row r="63" spans="1:12" x14ac:dyDescent="0.25">
      <c r="A63" s="115" t="s">
        <v>197</v>
      </c>
      <c r="B63" s="1" t="str">
        <f>Narrative!H992</f>
        <v>National Council for Workforce Ed, Heidi Pasek</v>
      </c>
      <c r="D63" s="116">
        <f ca="1">SUMIF('Budget Detail &amp; Amendments'!A:Q, 31, 'Budget Detail &amp; Amendments'!O:O)</f>
        <v>4658</v>
      </c>
      <c r="F63" s="117">
        <f ca="1">SUMIF('Budget Detail &amp; Amendments'!A:Q, 31, 'Budget Detail &amp; Amendments'!P:P)</f>
        <v>4658</v>
      </c>
      <c r="H63" s="116">
        <f ca="1">SUMIF('Budget Detail &amp; Amendments'!A:Q, 31, 'Budget Detail &amp; Amendments'!R:R)</f>
        <v>6897</v>
      </c>
      <c r="J63" s="116">
        <f ca="1">SUMIF('Budget Detail &amp; Amendments'!A:Q, 31, 'Budget Detail &amp; Amendments'!T:T)</f>
        <v>6897</v>
      </c>
      <c r="L63" s="116">
        <f ca="1">SUMIF('Budget Detail &amp; Amendments'!A:Q, 31, 'Budget Detail &amp; Amendments'!V:V)</f>
        <v>6897</v>
      </c>
    </row>
    <row r="65" spans="1:12" x14ac:dyDescent="0.25">
      <c r="A65" s="115" t="s">
        <v>198</v>
      </c>
      <c r="B65" s="1" t="str">
        <f>Narrative!H1025</f>
        <v>Program Review</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c r="L65" s="116">
        <f ca="1">SUMIF('Budget Detail &amp; Amendments'!A:Q, 32, 'Budget Detail &amp; Amendments'!V:V)</f>
        <v>0</v>
      </c>
    </row>
    <row r="67" spans="1:12" x14ac:dyDescent="0.25">
      <c r="A67" s="115" t="s">
        <v>199</v>
      </c>
      <c r="B67" s="1" t="str">
        <f>Narrative!H1058</f>
        <v>Dental Infection Control Conference</v>
      </c>
      <c r="D67" s="116">
        <f ca="1">SUMIF('Budget Detail &amp; Amendments'!A:Q, 33, 'Budget Detail &amp; Amendments'!O:O)</f>
        <v>2810</v>
      </c>
      <c r="F67" s="117">
        <f ca="1">SUMIF('Budget Detail &amp; Amendments'!A:Q, 33, 'Budget Detail &amp; Amendments'!P:P)</f>
        <v>2810</v>
      </c>
      <c r="H67" s="116">
        <f ca="1">SUMIF('Budget Detail &amp; Amendments'!A:Q, 33, 'Budget Detail &amp; Amendments'!R:R)</f>
        <v>2810</v>
      </c>
      <c r="J67" s="116">
        <f ca="1">SUMIF('Budget Detail &amp; Amendments'!A:Q, 33, 'Budget Detail &amp; Amendments'!T:T)</f>
        <v>2810</v>
      </c>
      <c r="L67" s="116">
        <f ca="1">SUMIF('Budget Detail &amp; Amendments'!A:Q, 33, 'Budget Detail &amp; Amendments'!V:V)</f>
        <v>2810</v>
      </c>
    </row>
    <row r="69" spans="1:12" x14ac:dyDescent="0.25">
      <c r="A69" s="115" t="s">
        <v>200</v>
      </c>
      <c r="B69" s="1" t="str">
        <f>Narrative!H1091</f>
        <v>ADEA conference, Julie Barnwell</v>
      </c>
      <c r="D69" s="116">
        <f ca="1">SUMIF('Budget Detail &amp; Amendments'!A:Q, 34, 'Budget Detail &amp; Amendments'!O:O)</f>
        <v>2786</v>
      </c>
      <c r="F69" s="117">
        <f ca="1">SUMIF('Budget Detail &amp; Amendments'!A:Q, 34, 'Budget Detail &amp; Amendments'!P:P)</f>
        <v>2786</v>
      </c>
      <c r="H69" s="116">
        <f ca="1">SUMIF('Budget Detail &amp; Amendments'!A:Q, 34, 'Budget Detail &amp; Amendments'!R:R)</f>
        <v>2786</v>
      </c>
      <c r="J69" s="116">
        <f ca="1">SUMIF('Budget Detail &amp; Amendments'!A:Q, 34, 'Budget Detail &amp; Amendments'!T:T)</f>
        <v>2786</v>
      </c>
      <c r="L69" s="116">
        <f ca="1">SUMIF('Budget Detail &amp; Amendments'!A:Q, 34, 'Budget Detail &amp; Amendments'!V:V)</f>
        <v>2786</v>
      </c>
    </row>
    <row r="71" spans="1:12" x14ac:dyDescent="0.25">
      <c r="A71" s="115" t="s">
        <v>201</v>
      </c>
      <c r="B71" s="1" t="str">
        <f>Narrative!H1124</f>
        <v>Biology Study Models</v>
      </c>
      <c r="D71" s="116">
        <f ca="1">SUMIF('Budget Detail &amp; Amendments'!A:Q, 35, 'Budget Detail &amp; Amendments'!O:O)</f>
        <v>20309.43</v>
      </c>
      <c r="F71" s="117">
        <f ca="1">SUMIF('Budget Detail &amp; Amendments'!A:Q, 35, 'Budget Detail &amp; Amendments'!P:P)</f>
        <v>20309.43</v>
      </c>
      <c r="H71" s="116">
        <f ca="1">SUMIF('Budget Detail &amp; Amendments'!A:Q, 35, 'Budget Detail &amp; Amendments'!R:R)</f>
        <v>20309.43</v>
      </c>
      <c r="J71" s="116">
        <f ca="1">SUMIF('Budget Detail &amp; Amendments'!A:Q, 35, 'Budget Detail &amp; Amendments'!T:T)</f>
        <v>20309.43</v>
      </c>
      <c r="L71" s="116">
        <f ca="1">SUMIF('Budget Detail &amp; Amendments'!A:Q, 35, 'Budget Detail &amp; Amendments'!V:V)</f>
        <v>20309.43</v>
      </c>
    </row>
    <row r="73" spans="1:12" x14ac:dyDescent="0.25">
      <c r="A73" s="115" t="s">
        <v>473</v>
      </c>
      <c r="B73" s="1" t="str">
        <f>Narrative!H1157</f>
        <v>NACEP conference</v>
      </c>
      <c r="H73" s="116">
        <f ca="1">SUMIF('Budget Detail &amp; Amendments'!A:Q, 36, 'Budget Detail &amp; Amendments'!R:R)</f>
        <v>2635</v>
      </c>
      <c r="J73" s="116">
        <f ca="1">SUMIF('Budget Detail &amp; Amendments'!A:Q, 36, 'Budget Detail &amp; Amendments'!T:T)</f>
        <v>2635</v>
      </c>
      <c r="L73" s="116">
        <f ca="1">SUMIF('Budget Detail &amp; Amendments'!A:Q, 36, 'Budget Detail &amp; Amendments'!V:V)</f>
        <v>2635</v>
      </c>
    </row>
    <row r="75" spans="1:12" x14ac:dyDescent="0.25">
      <c r="A75" s="115" t="s">
        <v>474</v>
      </c>
      <c r="B75" s="1" t="str">
        <f>Narrative!H1190</f>
        <v>Montana Society of Certified Public Accountants</v>
      </c>
      <c r="H75" s="116">
        <f ca="1">SUMIF('Budget Detail &amp; Amendments'!A:Q, 37, 'Budget Detail &amp; Amendments'!R:R)</f>
        <v>1102.57</v>
      </c>
      <c r="J75" s="116">
        <f ca="1">SUMIF('Budget Detail &amp; Amendments'!A:Q, 37, 'Budget Detail &amp; Amendments'!T:T)</f>
        <v>1102.57</v>
      </c>
      <c r="L75" s="116">
        <f ca="1">SUMIF('Budget Detail &amp; Amendments'!A:Q, 37, 'Budget Detail &amp; Amendments'!V:V)</f>
        <v>1102.57</v>
      </c>
    </row>
    <row r="77" spans="1:12" x14ac:dyDescent="0.25">
      <c r="A77" s="115" t="s">
        <v>482</v>
      </c>
      <c r="B77" s="1" t="str">
        <f>Narrative!H1221</f>
        <v>Surg Tech Training Materials</v>
      </c>
      <c r="H77" s="116">
        <f ca="1">SUMIF('Budget Detail &amp; Amendments'!A:Q, 38, 'Budget Detail &amp; Amendments'!R:R)</f>
        <v>1200</v>
      </c>
      <c r="J77" s="116">
        <f ca="1">SUMIF('Budget Detail &amp; Amendments'!A:Q, 38, 'Budget Detail &amp; Amendments'!T:T)</f>
        <v>1200</v>
      </c>
      <c r="L77" s="116">
        <f ca="1">SUMIF('Budget Detail &amp; Amendments'!A:Q, 38, 'Budget Detail &amp; Amendments'!V:V)</f>
        <v>1200</v>
      </c>
    </row>
    <row r="79" spans="1:12" x14ac:dyDescent="0.25">
      <c r="A79" s="115" t="s">
        <v>484</v>
      </c>
      <c r="B79" s="1" t="str">
        <f>Narrative!H1252</f>
        <v>Surg Tech Classroom Chromebooks</v>
      </c>
      <c r="H79" s="116">
        <f ca="1">SUMIF('Budget Detail &amp; Amendments'!A:Q, 39, 'Budget Detail &amp; Amendments'!R:R)</f>
        <v>3285</v>
      </c>
      <c r="J79" s="116">
        <f ca="1">SUMIF('Budget Detail &amp; Amendments'!A:Q, 39, 'Budget Detail &amp; Amendments'!T:T)</f>
        <v>3285</v>
      </c>
      <c r="L79" s="116">
        <f ca="1">SUMIF('Budget Detail &amp; Amendments'!A:Q, 39, 'Budget Detail &amp; Amendments'!V:V)</f>
        <v>4350</v>
      </c>
    </row>
    <row r="81" spans="1:12" x14ac:dyDescent="0.25">
      <c r="A81" s="115" t="s">
        <v>489</v>
      </c>
      <c r="B81" s="1" t="str">
        <f>Narrative!H1284</f>
        <v>Dental Hygiene ADHA conf</v>
      </c>
      <c r="H81" s="116">
        <f ca="1">SUMIF('Budget Detail &amp; Amendments'!A:Q, 40, 'Budget Detail &amp; Amendments'!R:R)</f>
        <v>2786</v>
      </c>
      <c r="J81" s="116">
        <f ca="1">SUMIF('Budget Detail &amp; Amendments'!A:Q, 40, 'Budget Detail &amp; Amendments'!T:T)</f>
        <v>2786</v>
      </c>
      <c r="L81" s="116">
        <f ca="1">SUMIF('Budget Detail &amp; Amendments'!A:Q, 40, 'Budget Detail &amp; Amendments'!V:V)</f>
        <v>2786</v>
      </c>
    </row>
    <row r="83" spans="1:12" x14ac:dyDescent="0.25">
      <c r="A83" s="115" t="s">
        <v>497</v>
      </c>
      <c r="B83" s="1" t="str">
        <f>Narrative!H1316</f>
        <v>CIT Optical Time Domain Reflectometer</v>
      </c>
      <c r="H83" s="116">
        <f ca="1">SUMIF('Budget Detail &amp; Amendments'!A:Q, 41, 'Budget Detail &amp; Amendments'!R:R)</f>
        <v>599</v>
      </c>
      <c r="J83" s="116">
        <f ca="1">SUMIF('Budget Detail &amp; Amendments'!A:Q, 41, 'Budget Detail &amp; Amendments'!T:T)</f>
        <v>599</v>
      </c>
      <c r="L83" s="116">
        <f ca="1">SUMIF('Budget Detail &amp; Amendments'!A:Q, 41, 'Budget Detail &amp; Amendments'!V:V)</f>
        <v>599</v>
      </c>
    </row>
    <row r="85" spans="1:12" x14ac:dyDescent="0.25">
      <c r="A85" s="115" t="s">
        <v>503</v>
      </c>
      <c r="B85" s="1" t="str">
        <f>Narrative!H1347</f>
        <v>Dental Hygiene faculty travel to peer program</v>
      </c>
      <c r="H85" s="116">
        <f ca="1">SUMIF('Budget Detail &amp; Amendments'!A:Q, 42, 'Budget Detail &amp; Amendments'!R:R)</f>
        <v>1780</v>
      </c>
      <c r="J85" s="116">
        <f ca="1">SUMIF('Budget Detail &amp; Amendments'!A:Q, 42, 'Budget Detail &amp; Amendments'!T:T)</f>
        <v>1780</v>
      </c>
      <c r="L85" s="116">
        <f ca="1">SUMIF('Budget Detail &amp; Amendments'!A:Q, 42, 'Budget Detail &amp; Amendments'!V:V)</f>
        <v>1780</v>
      </c>
    </row>
    <row r="87" spans="1:12" x14ac:dyDescent="0.25">
      <c r="A87" s="115" t="s">
        <v>516</v>
      </c>
      <c r="B87" s="1" t="s">
        <v>517</v>
      </c>
      <c r="H87" s="116">
        <f ca="1">SUMIF('Budget Detail &amp; Amendments'!A:Q, 43, 'Budget Detail &amp; Amendments'!R:R)</f>
        <v>3600</v>
      </c>
      <c r="J87" s="116">
        <f ca="1">SUMIF('Budget Detail &amp; Amendments'!A:Q, 43, 'Budget Detail &amp; Amendments'!T:T)</f>
        <v>3600</v>
      </c>
      <c r="L87" s="116">
        <f ca="1">SUMIF('Budget Detail &amp; Amendments'!A:Q, 43, 'Budget Detail &amp; Amendments'!V:V)</f>
        <v>3600</v>
      </c>
    </row>
    <row r="89" spans="1:12" x14ac:dyDescent="0.25">
      <c r="A89" s="115" t="s">
        <v>522</v>
      </c>
      <c r="B89" s="1" t="str">
        <f>Narrative!H1410</f>
        <v>Physical Therapy Lab Equipment</v>
      </c>
      <c r="H89" s="116">
        <f ca="1">SUMIF('Budget Detail &amp; Amendments'!A:Q, 44, 'Budget Detail &amp; Amendments'!R:R)</f>
        <v>8113</v>
      </c>
      <c r="J89" s="116">
        <f ca="1">SUMIF('Budget Detail &amp; Amendments'!A:Q, 44, 'Budget Detail &amp; Amendments'!T:T)</f>
        <v>8113</v>
      </c>
      <c r="L89" s="116">
        <f ca="1">SUMIF('Budget Detail &amp; Amendments'!A:Q, 44, 'Budget Detail &amp; Amendments'!V:V)</f>
        <v>8113</v>
      </c>
    </row>
    <row r="91" spans="1:12" x14ac:dyDescent="0.25">
      <c r="A91" s="115" t="s">
        <v>527</v>
      </c>
      <c r="B91" s="1" t="str">
        <f>Narrative!H1442</f>
        <v>Nursing Student ID Maker</v>
      </c>
      <c r="H91" s="116">
        <f ca="1">SUMIF('Budget Detail &amp; Amendments'!A:Q, 45, 'Budget Detail &amp; Amendments'!R:R)</f>
        <v>2275</v>
      </c>
      <c r="J91" s="116">
        <f ca="1">SUMIF('Budget Detail &amp; Amendments'!A:Q, 45, 'Budget Detail &amp; Amendments'!T:T)</f>
        <v>2275</v>
      </c>
      <c r="L91" s="116">
        <f ca="1">SUMIF('Budget Detail &amp; Amendments'!A:Q, 45, 'Budget Detail &amp; Amendments'!V:V)</f>
        <v>2275</v>
      </c>
    </row>
    <row r="93" spans="1:12" x14ac:dyDescent="0.25">
      <c r="A93" s="115" t="s">
        <v>535</v>
      </c>
      <c r="B93" s="1" t="str">
        <f>Narrative!H1473</f>
        <v>ACT Workforce Summit</v>
      </c>
      <c r="H93" s="116">
        <f ca="1">SUMIF('Budget Detail &amp; Amendments'!A:Q, 46, 'Budget Detail &amp; Amendments'!R:R)</f>
        <v>6533</v>
      </c>
      <c r="J93" s="116">
        <f ca="1">SUMIF('Budget Detail &amp; Amendments'!A:Q, 46, 'Budget Detail &amp; Amendments'!T:T)</f>
        <v>6533</v>
      </c>
      <c r="L93" s="116">
        <f ca="1">SUMIF('Budget Detail &amp; Amendments'!A:Q, 46, 'Budget Detail &amp; Amendments'!V:V)</f>
        <v>6533</v>
      </c>
    </row>
    <row r="95" spans="1:12" x14ac:dyDescent="0.25">
      <c r="A95" s="115" t="s">
        <v>559</v>
      </c>
      <c r="B95" s="1" t="str">
        <f>Narrative!H1504</f>
        <v>Health Info Management meetings</v>
      </c>
      <c r="L95" s="116">
        <f ca="1">SUMIF('Budget Detail &amp; Amendments'!A:Q, 47, 'Budget Detail &amp; Amendments'!V:V)</f>
        <v>240</v>
      </c>
    </row>
    <row r="97" spans="1:12" x14ac:dyDescent="0.25">
      <c r="A97" s="115" t="s">
        <v>566</v>
      </c>
      <c r="B97" s="1" t="str">
        <f>Narrative!H1535</f>
        <v>Computer  Science con NICE&amp;CAE</v>
      </c>
      <c r="L97" s="116">
        <f ca="1">SUMIF('Budget Detail &amp; Amendments'!A:Q, 48, 'Budget Detail &amp; Amendments'!V:V)</f>
        <v>3337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workbookViewId="0">
      <selection activeCell="F89" sqref="F89"/>
    </sheetView>
  </sheetViews>
  <sheetFormatPr defaultRowHeight="15" x14ac:dyDescent="0.25"/>
  <cols>
    <col min="2" max="2" width="9.85546875" customWidth="1"/>
  </cols>
  <sheetData>
    <row r="1" spans="1:25" ht="18.75" x14ac:dyDescent="0.3">
      <c r="A1" s="397" t="s">
        <v>43</v>
      </c>
      <c r="B1" s="397"/>
      <c r="C1" s="397"/>
      <c r="D1" s="397"/>
    </row>
    <row r="3" spans="1:25" x14ac:dyDescent="0.25">
      <c r="A3" s="310" t="s">
        <v>106</v>
      </c>
      <c r="B3" s="310"/>
      <c r="C3" s="310"/>
      <c r="D3" s="310"/>
      <c r="E3" s="310"/>
      <c r="F3" s="310"/>
      <c r="G3" s="310"/>
      <c r="H3" s="310"/>
      <c r="I3" s="310"/>
      <c r="J3" s="310"/>
      <c r="K3" s="310"/>
      <c r="L3" s="310"/>
      <c r="M3" s="310"/>
      <c r="N3" s="310"/>
      <c r="O3" s="310"/>
      <c r="P3" s="310"/>
      <c r="Q3" s="310"/>
    </row>
    <row r="5" spans="1:25" x14ac:dyDescent="0.25">
      <c r="A5" s="310" t="s">
        <v>107</v>
      </c>
      <c r="B5" s="310"/>
      <c r="C5" s="310"/>
      <c r="D5" s="310"/>
      <c r="E5" s="310"/>
      <c r="F5" s="310"/>
      <c r="G5" s="310"/>
      <c r="H5" s="310"/>
      <c r="I5" s="310"/>
      <c r="J5" s="310"/>
      <c r="K5" s="310"/>
      <c r="L5" s="310"/>
      <c r="M5" s="310"/>
      <c r="N5" s="310"/>
      <c r="O5" s="310"/>
      <c r="P5" s="310"/>
      <c r="Q5" s="310"/>
      <c r="R5" s="310"/>
    </row>
    <row r="7" spans="1:25" ht="15.75" thickBot="1" x14ac:dyDescent="0.3"/>
    <row r="8" spans="1:25" ht="16.5" thickBot="1" x14ac:dyDescent="0.3">
      <c r="A8" s="392" t="s">
        <v>44</v>
      </c>
      <c r="B8" s="392"/>
      <c r="C8" s="393" t="s">
        <v>367</v>
      </c>
      <c r="D8" s="394"/>
      <c r="E8" s="394"/>
      <c r="F8" s="394"/>
      <c r="G8" s="394"/>
      <c r="H8" s="394"/>
      <c r="I8" s="394"/>
      <c r="J8" s="394"/>
      <c r="K8" s="394"/>
      <c r="L8" s="394"/>
      <c r="M8" s="394"/>
      <c r="N8" s="394"/>
      <c r="O8" s="394"/>
      <c r="P8" s="394"/>
      <c r="Q8" s="394"/>
      <c r="R8" s="394"/>
      <c r="S8" s="394"/>
      <c r="T8" s="394"/>
      <c r="U8" s="394"/>
      <c r="V8" s="394"/>
      <c r="W8" s="394"/>
      <c r="X8" s="394"/>
      <c r="Y8" s="395"/>
    </row>
    <row r="9" spans="1:25" ht="15.75" thickBot="1" x14ac:dyDescent="0.3"/>
    <row r="10" spans="1:25" x14ac:dyDescent="0.25">
      <c r="A10" s="326" t="s">
        <v>45</v>
      </c>
      <c r="B10" s="326"/>
      <c r="C10" s="326"/>
      <c r="D10" s="326"/>
      <c r="E10" s="326"/>
      <c r="F10" s="383" t="s">
        <v>368</v>
      </c>
      <c r="G10" s="384"/>
      <c r="H10" s="384"/>
      <c r="I10" s="384"/>
      <c r="J10" s="384"/>
      <c r="K10" s="384"/>
      <c r="L10" s="384"/>
      <c r="M10" s="384"/>
      <c r="N10" s="384"/>
      <c r="O10" s="384"/>
      <c r="P10" s="384"/>
      <c r="Q10" s="384"/>
      <c r="R10" s="384"/>
      <c r="S10" s="384"/>
      <c r="T10" s="384"/>
      <c r="U10" s="384"/>
      <c r="V10" s="384"/>
      <c r="W10" s="384"/>
      <c r="X10" s="384"/>
      <c r="Y10" s="385"/>
    </row>
    <row r="11" spans="1:25" x14ac:dyDescent="0.25">
      <c r="A11" s="4"/>
      <c r="B11" s="4"/>
      <c r="C11" s="4"/>
      <c r="D11" s="4"/>
      <c r="E11" s="4"/>
      <c r="F11" s="386"/>
      <c r="G11" s="387"/>
      <c r="H11" s="387"/>
      <c r="I11" s="387"/>
      <c r="J11" s="387"/>
      <c r="K11" s="387"/>
      <c r="L11" s="387"/>
      <c r="M11" s="387"/>
      <c r="N11" s="387"/>
      <c r="O11" s="387"/>
      <c r="P11" s="387"/>
      <c r="Q11" s="387"/>
      <c r="R11" s="387"/>
      <c r="S11" s="387"/>
      <c r="T11" s="387"/>
      <c r="U11" s="387"/>
      <c r="V11" s="387"/>
      <c r="W11" s="387"/>
      <c r="X11" s="387"/>
      <c r="Y11" s="388"/>
    </row>
    <row r="12" spans="1:25" ht="15.75" thickBot="1" x14ac:dyDescent="0.3">
      <c r="A12" s="4"/>
      <c r="B12" s="4"/>
      <c r="C12" s="4"/>
      <c r="D12" s="4"/>
      <c r="E12" s="4"/>
      <c r="F12" s="389"/>
      <c r="G12" s="390"/>
      <c r="H12" s="390"/>
      <c r="I12" s="390"/>
      <c r="J12" s="390"/>
      <c r="K12" s="390"/>
      <c r="L12" s="390"/>
      <c r="M12" s="390"/>
      <c r="N12" s="390"/>
      <c r="O12" s="390"/>
      <c r="P12" s="390"/>
      <c r="Q12" s="390"/>
      <c r="R12" s="390"/>
      <c r="S12" s="390"/>
      <c r="T12" s="390"/>
      <c r="U12" s="390"/>
      <c r="V12" s="390"/>
      <c r="W12" s="390"/>
      <c r="X12" s="390"/>
      <c r="Y12" s="391"/>
    </row>
    <row r="13" spans="1:25" ht="15.75" thickBot="1" x14ac:dyDescent="0.3"/>
    <row r="14" spans="1:25" x14ac:dyDescent="0.25">
      <c r="A14" s="326" t="s">
        <v>46</v>
      </c>
      <c r="B14" s="326"/>
      <c r="C14" s="326"/>
      <c r="D14" s="326"/>
      <c r="E14" s="326"/>
      <c r="F14" s="326"/>
      <c r="G14" s="326"/>
      <c r="H14" s="326"/>
      <c r="I14" s="383" t="s">
        <v>369</v>
      </c>
      <c r="J14" s="384"/>
      <c r="K14" s="384"/>
      <c r="L14" s="384"/>
      <c r="M14" s="384"/>
      <c r="N14" s="384"/>
      <c r="O14" s="384"/>
      <c r="P14" s="384"/>
      <c r="Q14" s="384"/>
      <c r="R14" s="384"/>
      <c r="S14" s="384"/>
      <c r="T14" s="384"/>
      <c r="U14" s="384"/>
      <c r="V14" s="384"/>
      <c r="W14" s="384"/>
      <c r="X14" s="384"/>
      <c r="Y14" s="385"/>
    </row>
    <row r="15" spans="1:25" x14ac:dyDescent="0.25">
      <c r="A15" s="4"/>
      <c r="B15" s="4"/>
      <c r="C15" s="4"/>
      <c r="D15" s="4"/>
      <c r="E15" s="4"/>
      <c r="F15" s="4"/>
      <c r="G15" s="4"/>
      <c r="H15" s="4"/>
      <c r="I15" s="386"/>
      <c r="J15" s="387"/>
      <c r="K15" s="387"/>
      <c r="L15" s="387"/>
      <c r="M15" s="387"/>
      <c r="N15" s="387"/>
      <c r="O15" s="387"/>
      <c r="P15" s="387"/>
      <c r="Q15" s="387"/>
      <c r="R15" s="387"/>
      <c r="S15" s="387"/>
      <c r="T15" s="387"/>
      <c r="U15" s="387"/>
      <c r="V15" s="387"/>
      <c r="W15" s="387"/>
      <c r="X15" s="387"/>
      <c r="Y15" s="388"/>
    </row>
    <row r="16" spans="1:25" ht="15.75" thickBot="1" x14ac:dyDescent="0.3">
      <c r="A16" s="4"/>
      <c r="B16" s="4"/>
      <c r="C16" s="4"/>
      <c r="D16" s="4"/>
      <c r="E16" s="4"/>
      <c r="F16" s="4"/>
      <c r="G16" s="4"/>
      <c r="H16" s="4"/>
      <c r="I16" s="389"/>
      <c r="J16" s="390"/>
      <c r="K16" s="390"/>
      <c r="L16" s="390"/>
      <c r="M16" s="390"/>
      <c r="N16" s="390"/>
      <c r="O16" s="390"/>
      <c r="P16" s="390"/>
      <c r="Q16" s="390"/>
      <c r="R16" s="390"/>
      <c r="S16" s="390"/>
      <c r="T16" s="390"/>
      <c r="U16" s="390"/>
      <c r="V16" s="390"/>
      <c r="W16" s="390"/>
      <c r="X16" s="390"/>
      <c r="Y16" s="391"/>
    </row>
    <row r="17" spans="1:25" ht="15.75" thickBot="1" x14ac:dyDescent="0.3"/>
    <row r="18" spans="1:25" ht="15.75" thickBot="1" x14ac:dyDescent="0.3">
      <c r="A18" s="326" t="s">
        <v>47</v>
      </c>
      <c r="B18" s="326"/>
      <c r="C18" s="326"/>
      <c r="D18" s="326"/>
      <c r="E18" s="326"/>
      <c r="F18" s="302">
        <v>3</v>
      </c>
      <c r="G18" s="303"/>
      <c r="H18" s="303"/>
      <c r="I18" s="303"/>
      <c r="J18" s="303"/>
      <c r="K18" s="303"/>
      <c r="L18" s="303"/>
      <c r="M18" s="303"/>
      <c r="N18" s="303"/>
      <c r="O18" s="303"/>
      <c r="P18" s="303"/>
      <c r="Q18" s="303"/>
      <c r="R18" s="303"/>
      <c r="S18" s="303"/>
      <c r="T18" s="303"/>
      <c r="U18" s="303"/>
      <c r="V18" s="303"/>
      <c r="W18" s="303"/>
      <c r="X18" s="303"/>
      <c r="Y18" s="304"/>
    </row>
    <row r="21" spans="1:25" ht="15.75" thickBot="1" x14ac:dyDescent="0.3"/>
    <row r="22" spans="1:25" ht="16.5" thickBot="1" x14ac:dyDescent="0.3">
      <c r="A22" s="392" t="s">
        <v>44</v>
      </c>
      <c r="B22" s="392"/>
      <c r="C22" s="393" t="s">
        <v>370</v>
      </c>
      <c r="D22" s="394"/>
      <c r="E22" s="394"/>
      <c r="F22" s="394"/>
      <c r="G22" s="394"/>
      <c r="H22" s="394"/>
      <c r="I22" s="394"/>
      <c r="J22" s="394"/>
      <c r="K22" s="394"/>
      <c r="L22" s="394"/>
      <c r="M22" s="394"/>
      <c r="N22" s="394"/>
      <c r="O22" s="394"/>
      <c r="P22" s="394"/>
      <c r="Q22" s="394"/>
      <c r="R22" s="394"/>
      <c r="S22" s="394"/>
      <c r="T22" s="394"/>
      <c r="U22" s="394"/>
      <c r="V22" s="394"/>
      <c r="W22" s="394"/>
      <c r="X22" s="394"/>
      <c r="Y22" s="395"/>
    </row>
    <row r="23" spans="1:25" ht="15.75" thickBot="1" x14ac:dyDescent="0.3"/>
    <row r="24" spans="1:25" x14ac:dyDescent="0.25">
      <c r="A24" s="326" t="s">
        <v>45</v>
      </c>
      <c r="B24" s="326"/>
      <c r="C24" s="326"/>
      <c r="D24" s="326"/>
      <c r="E24" s="326"/>
      <c r="F24" s="317" t="s">
        <v>371</v>
      </c>
      <c r="G24" s="318"/>
      <c r="H24" s="318"/>
      <c r="I24" s="318"/>
      <c r="J24" s="318"/>
      <c r="K24" s="318"/>
      <c r="L24" s="318"/>
      <c r="M24" s="318"/>
      <c r="N24" s="318"/>
      <c r="O24" s="318"/>
      <c r="P24" s="318"/>
      <c r="Q24" s="318"/>
      <c r="R24" s="318"/>
      <c r="S24" s="318"/>
      <c r="T24" s="318"/>
      <c r="U24" s="318"/>
      <c r="V24" s="318"/>
      <c r="W24" s="318"/>
      <c r="X24" s="318"/>
      <c r="Y24" s="319"/>
    </row>
    <row r="25" spans="1:25" x14ac:dyDescent="0.25">
      <c r="A25" s="4"/>
      <c r="B25" s="4"/>
      <c r="C25" s="4"/>
      <c r="D25" s="4"/>
      <c r="E25" s="4"/>
      <c r="F25" s="320"/>
      <c r="G25" s="321"/>
      <c r="H25" s="321"/>
      <c r="I25" s="321"/>
      <c r="J25" s="321"/>
      <c r="K25" s="321"/>
      <c r="L25" s="321"/>
      <c r="M25" s="321"/>
      <c r="N25" s="321"/>
      <c r="O25" s="321"/>
      <c r="P25" s="321"/>
      <c r="Q25" s="321"/>
      <c r="R25" s="321"/>
      <c r="S25" s="321"/>
      <c r="T25" s="321"/>
      <c r="U25" s="321"/>
      <c r="V25" s="321"/>
      <c r="W25" s="321"/>
      <c r="X25" s="321"/>
      <c r="Y25" s="322"/>
    </row>
    <row r="26" spans="1:25" ht="15.75" thickBot="1" x14ac:dyDescent="0.3">
      <c r="A26" s="4"/>
      <c r="B26" s="4"/>
      <c r="C26" s="4"/>
      <c r="D26" s="4"/>
      <c r="E26" s="4"/>
      <c r="F26" s="323"/>
      <c r="G26" s="324"/>
      <c r="H26" s="324"/>
      <c r="I26" s="324"/>
      <c r="J26" s="324"/>
      <c r="K26" s="324"/>
      <c r="L26" s="324"/>
      <c r="M26" s="324"/>
      <c r="N26" s="324"/>
      <c r="O26" s="324"/>
      <c r="P26" s="324"/>
      <c r="Q26" s="324"/>
      <c r="R26" s="324"/>
      <c r="S26" s="324"/>
      <c r="T26" s="324"/>
      <c r="U26" s="324"/>
      <c r="V26" s="324"/>
      <c r="W26" s="324"/>
      <c r="X26" s="324"/>
      <c r="Y26" s="325"/>
    </row>
    <row r="27" spans="1:25" ht="15.75" thickBot="1" x14ac:dyDescent="0.3"/>
    <row r="28" spans="1:25" x14ac:dyDescent="0.25">
      <c r="A28" s="326" t="s">
        <v>46</v>
      </c>
      <c r="B28" s="326"/>
      <c r="C28" s="326"/>
      <c r="D28" s="326"/>
      <c r="E28" s="326"/>
      <c r="F28" s="326"/>
      <c r="G28" s="326"/>
      <c r="H28" s="326"/>
      <c r="I28" s="383" t="s">
        <v>372</v>
      </c>
      <c r="J28" s="384"/>
      <c r="K28" s="384"/>
      <c r="L28" s="384"/>
      <c r="M28" s="384"/>
      <c r="N28" s="384"/>
      <c r="O28" s="384"/>
      <c r="P28" s="384"/>
      <c r="Q28" s="384"/>
      <c r="R28" s="384"/>
      <c r="S28" s="384"/>
      <c r="T28" s="384"/>
      <c r="U28" s="384"/>
      <c r="V28" s="384"/>
      <c r="W28" s="384"/>
      <c r="X28" s="384"/>
      <c r="Y28" s="385"/>
    </row>
    <row r="29" spans="1:25" x14ac:dyDescent="0.25">
      <c r="A29" s="4"/>
      <c r="B29" s="4"/>
      <c r="C29" s="4"/>
      <c r="D29" s="4"/>
      <c r="E29" s="4"/>
      <c r="F29" s="4"/>
      <c r="G29" s="4"/>
      <c r="H29" s="4"/>
      <c r="I29" s="386"/>
      <c r="J29" s="387"/>
      <c r="K29" s="387"/>
      <c r="L29" s="387"/>
      <c r="M29" s="387"/>
      <c r="N29" s="387"/>
      <c r="O29" s="387"/>
      <c r="P29" s="387"/>
      <c r="Q29" s="387"/>
      <c r="R29" s="387"/>
      <c r="S29" s="387"/>
      <c r="T29" s="387"/>
      <c r="U29" s="387"/>
      <c r="V29" s="387"/>
      <c r="W29" s="387"/>
      <c r="X29" s="387"/>
      <c r="Y29" s="388"/>
    </row>
    <row r="30" spans="1:25" ht="15.75" thickBot="1" x14ac:dyDescent="0.3">
      <c r="A30" s="4"/>
      <c r="B30" s="4"/>
      <c r="C30" s="4"/>
      <c r="D30" s="4"/>
      <c r="E30" s="4"/>
      <c r="F30" s="4"/>
      <c r="G30" s="4"/>
      <c r="H30" s="4"/>
      <c r="I30" s="389"/>
      <c r="J30" s="390"/>
      <c r="K30" s="390"/>
      <c r="L30" s="390"/>
      <c r="M30" s="390"/>
      <c r="N30" s="390"/>
      <c r="O30" s="390"/>
      <c r="P30" s="390"/>
      <c r="Q30" s="390"/>
      <c r="R30" s="390"/>
      <c r="S30" s="390"/>
      <c r="T30" s="390"/>
      <c r="U30" s="390"/>
      <c r="V30" s="390"/>
      <c r="W30" s="390"/>
      <c r="X30" s="390"/>
      <c r="Y30" s="391"/>
    </row>
    <row r="31" spans="1:25" ht="15.75" thickBot="1" x14ac:dyDescent="0.3"/>
    <row r="32" spans="1:25" ht="15.75" thickBot="1" x14ac:dyDescent="0.3">
      <c r="A32" s="326" t="s">
        <v>47</v>
      </c>
      <c r="B32" s="326"/>
      <c r="C32" s="326"/>
      <c r="D32" s="326"/>
      <c r="E32" s="326"/>
      <c r="F32" s="302">
        <v>2</v>
      </c>
      <c r="G32" s="303"/>
      <c r="H32" s="303"/>
      <c r="I32" s="303"/>
      <c r="J32" s="303"/>
      <c r="K32" s="303"/>
      <c r="L32" s="303"/>
      <c r="M32" s="303"/>
      <c r="N32" s="303"/>
      <c r="O32" s="303"/>
      <c r="P32" s="303"/>
      <c r="Q32" s="303"/>
      <c r="R32" s="303"/>
      <c r="S32" s="303"/>
      <c r="T32" s="303"/>
      <c r="U32" s="303"/>
      <c r="V32" s="303"/>
      <c r="W32" s="303"/>
      <c r="X32" s="303"/>
      <c r="Y32" s="304"/>
    </row>
    <row r="35" spans="1:25" ht="15.75" thickBot="1" x14ac:dyDescent="0.3"/>
    <row r="36" spans="1:25" ht="16.5" thickBot="1" x14ac:dyDescent="0.3">
      <c r="A36" s="392" t="s">
        <v>44</v>
      </c>
      <c r="B36" s="392"/>
      <c r="C36" s="393" t="s">
        <v>373</v>
      </c>
      <c r="D36" s="394"/>
      <c r="E36" s="394"/>
      <c r="F36" s="394"/>
      <c r="G36" s="394"/>
      <c r="H36" s="394"/>
      <c r="I36" s="394"/>
      <c r="J36" s="394"/>
      <c r="K36" s="394"/>
      <c r="L36" s="394"/>
      <c r="M36" s="394"/>
      <c r="N36" s="394"/>
      <c r="O36" s="394"/>
      <c r="P36" s="394"/>
      <c r="Q36" s="394"/>
      <c r="R36" s="394"/>
      <c r="S36" s="394"/>
      <c r="T36" s="394"/>
      <c r="U36" s="394"/>
      <c r="V36" s="394"/>
      <c r="W36" s="394"/>
      <c r="X36" s="394"/>
      <c r="Y36" s="395"/>
    </row>
    <row r="37" spans="1:25" ht="15.75" thickBot="1" x14ac:dyDescent="0.3"/>
    <row r="38" spans="1:25" x14ac:dyDescent="0.25">
      <c r="A38" s="326" t="s">
        <v>45</v>
      </c>
      <c r="B38" s="326"/>
      <c r="C38" s="326"/>
      <c r="D38" s="326"/>
      <c r="E38" s="326"/>
      <c r="F38" s="317" t="s">
        <v>374</v>
      </c>
      <c r="G38" s="318"/>
      <c r="H38" s="318"/>
      <c r="I38" s="318"/>
      <c r="J38" s="318"/>
      <c r="K38" s="318"/>
      <c r="L38" s="318"/>
      <c r="M38" s="318"/>
      <c r="N38" s="318"/>
      <c r="O38" s="318"/>
      <c r="P38" s="318"/>
      <c r="Q38" s="318"/>
      <c r="R38" s="318"/>
      <c r="S38" s="318"/>
      <c r="T38" s="318"/>
      <c r="U38" s="318"/>
      <c r="V38" s="318"/>
      <c r="W38" s="318"/>
      <c r="X38" s="318"/>
      <c r="Y38" s="319"/>
    </row>
    <row r="39" spans="1:25" x14ac:dyDescent="0.25">
      <c r="A39" s="4"/>
      <c r="B39" s="4"/>
      <c r="C39" s="4"/>
      <c r="D39" s="4"/>
      <c r="E39" s="4"/>
      <c r="F39" s="320"/>
      <c r="G39" s="321"/>
      <c r="H39" s="321"/>
      <c r="I39" s="321"/>
      <c r="J39" s="321"/>
      <c r="K39" s="321"/>
      <c r="L39" s="321"/>
      <c r="M39" s="321"/>
      <c r="N39" s="321"/>
      <c r="O39" s="321"/>
      <c r="P39" s="321"/>
      <c r="Q39" s="321"/>
      <c r="R39" s="321"/>
      <c r="S39" s="321"/>
      <c r="T39" s="321"/>
      <c r="U39" s="321"/>
      <c r="V39" s="321"/>
      <c r="W39" s="321"/>
      <c r="X39" s="321"/>
      <c r="Y39" s="322"/>
    </row>
    <row r="40" spans="1:25" ht="15.75" thickBot="1" x14ac:dyDescent="0.3">
      <c r="A40" s="4"/>
      <c r="B40" s="4"/>
      <c r="C40" s="4"/>
      <c r="D40" s="4"/>
      <c r="E40" s="4"/>
      <c r="F40" s="323"/>
      <c r="G40" s="324"/>
      <c r="H40" s="324"/>
      <c r="I40" s="324"/>
      <c r="J40" s="324"/>
      <c r="K40" s="324"/>
      <c r="L40" s="324"/>
      <c r="M40" s="324"/>
      <c r="N40" s="324"/>
      <c r="O40" s="324"/>
      <c r="P40" s="324"/>
      <c r="Q40" s="324"/>
      <c r="R40" s="324"/>
      <c r="S40" s="324"/>
      <c r="T40" s="324"/>
      <c r="U40" s="324"/>
      <c r="V40" s="324"/>
      <c r="W40" s="324"/>
      <c r="X40" s="324"/>
      <c r="Y40" s="325"/>
    </row>
    <row r="41" spans="1:25" ht="15.75" thickBot="1" x14ac:dyDescent="0.3"/>
    <row r="42" spans="1:25" x14ac:dyDescent="0.25">
      <c r="A42" s="326" t="s">
        <v>46</v>
      </c>
      <c r="B42" s="326"/>
      <c r="C42" s="326"/>
      <c r="D42" s="326"/>
      <c r="E42" s="326"/>
      <c r="F42" s="326"/>
      <c r="G42" s="326"/>
      <c r="H42" s="326"/>
      <c r="I42" s="383" t="s">
        <v>372</v>
      </c>
      <c r="J42" s="384"/>
      <c r="K42" s="384"/>
      <c r="L42" s="384"/>
      <c r="M42" s="384"/>
      <c r="N42" s="384"/>
      <c r="O42" s="384"/>
      <c r="P42" s="384"/>
      <c r="Q42" s="384"/>
      <c r="R42" s="384"/>
      <c r="S42" s="384"/>
      <c r="T42" s="384"/>
      <c r="U42" s="384"/>
      <c r="V42" s="384"/>
      <c r="W42" s="384"/>
      <c r="X42" s="384"/>
      <c r="Y42" s="385"/>
    </row>
    <row r="43" spans="1:25" x14ac:dyDescent="0.25">
      <c r="A43" s="4"/>
      <c r="B43" s="4"/>
      <c r="C43" s="4"/>
      <c r="D43" s="4"/>
      <c r="E43" s="4"/>
      <c r="F43" s="4"/>
      <c r="G43" s="4"/>
      <c r="H43" s="4"/>
      <c r="I43" s="386"/>
      <c r="J43" s="387"/>
      <c r="K43" s="387"/>
      <c r="L43" s="387"/>
      <c r="M43" s="387"/>
      <c r="N43" s="387"/>
      <c r="O43" s="387"/>
      <c r="P43" s="387"/>
      <c r="Q43" s="387"/>
      <c r="R43" s="387"/>
      <c r="S43" s="387"/>
      <c r="T43" s="387"/>
      <c r="U43" s="387"/>
      <c r="V43" s="387"/>
      <c r="W43" s="387"/>
      <c r="X43" s="387"/>
      <c r="Y43" s="388"/>
    </row>
    <row r="44" spans="1:25" ht="15.75" thickBot="1" x14ac:dyDescent="0.3">
      <c r="A44" s="4"/>
      <c r="B44" s="4"/>
      <c r="C44" s="4"/>
      <c r="D44" s="4"/>
      <c r="E44" s="4"/>
      <c r="F44" s="4"/>
      <c r="G44" s="4"/>
      <c r="H44" s="4"/>
      <c r="I44" s="389"/>
      <c r="J44" s="390"/>
      <c r="K44" s="390"/>
      <c r="L44" s="390"/>
      <c r="M44" s="390"/>
      <c r="N44" s="390"/>
      <c r="O44" s="390"/>
      <c r="P44" s="390"/>
      <c r="Q44" s="390"/>
      <c r="R44" s="390"/>
      <c r="S44" s="390"/>
      <c r="T44" s="390"/>
      <c r="U44" s="390"/>
      <c r="V44" s="390"/>
      <c r="W44" s="390"/>
      <c r="X44" s="390"/>
      <c r="Y44" s="391"/>
    </row>
    <row r="45" spans="1:25" ht="15.75" thickBot="1" x14ac:dyDescent="0.3"/>
    <row r="46" spans="1:25" ht="15.75" thickBot="1" x14ac:dyDescent="0.3">
      <c r="A46" s="326" t="s">
        <v>47</v>
      </c>
      <c r="B46" s="326"/>
      <c r="C46" s="326"/>
      <c r="D46" s="326"/>
      <c r="E46" s="326"/>
      <c r="F46" s="302">
        <v>2</v>
      </c>
      <c r="G46" s="303"/>
      <c r="H46" s="303"/>
      <c r="I46" s="303"/>
      <c r="J46" s="303"/>
      <c r="K46" s="303"/>
      <c r="L46" s="303"/>
      <c r="M46" s="303"/>
      <c r="N46" s="303"/>
      <c r="O46" s="303"/>
      <c r="P46" s="303"/>
      <c r="Q46" s="303"/>
      <c r="R46" s="303"/>
      <c r="S46" s="303"/>
      <c r="T46" s="303"/>
      <c r="U46" s="303"/>
      <c r="V46" s="303"/>
      <c r="W46" s="303"/>
      <c r="X46" s="303"/>
      <c r="Y46" s="304"/>
    </row>
    <row r="49" spans="1:25" ht="15.75" thickBot="1" x14ac:dyDescent="0.3"/>
    <row r="50" spans="1:25" ht="16.5" thickBot="1" x14ac:dyDescent="0.3">
      <c r="A50" s="392" t="s">
        <v>44</v>
      </c>
      <c r="B50" s="392"/>
      <c r="C50" s="393" t="s">
        <v>375</v>
      </c>
      <c r="D50" s="394"/>
      <c r="E50" s="394"/>
      <c r="F50" s="394"/>
      <c r="G50" s="394"/>
      <c r="H50" s="394"/>
      <c r="I50" s="394"/>
      <c r="J50" s="394"/>
      <c r="K50" s="394"/>
      <c r="L50" s="394"/>
      <c r="M50" s="394"/>
      <c r="N50" s="394"/>
      <c r="O50" s="394"/>
      <c r="P50" s="394"/>
      <c r="Q50" s="394"/>
      <c r="R50" s="394"/>
      <c r="S50" s="394"/>
      <c r="T50" s="394"/>
      <c r="U50" s="394"/>
      <c r="V50" s="394"/>
      <c r="W50" s="394"/>
      <c r="X50" s="394"/>
      <c r="Y50" s="395"/>
    </row>
    <row r="51" spans="1:25" ht="15.75" thickBot="1" x14ac:dyDescent="0.3"/>
    <row r="52" spans="1:25" x14ac:dyDescent="0.25">
      <c r="A52" s="326" t="s">
        <v>45</v>
      </c>
      <c r="B52" s="326"/>
      <c r="C52" s="326"/>
      <c r="D52" s="326"/>
      <c r="E52" s="326"/>
      <c r="F52" s="317" t="s">
        <v>376</v>
      </c>
      <c r="G52" s="318"/>
      <c r="H52" s="318"/>
      <c r="I52" s="318"/>
      <c r="J52" s="318"/>
      <c r="K52" s="318"/>
      <c r="L52" s="318"/>
      <c r="M52" s="318"/>
      <c r="N52" s="318"/>
      <c r="O52" s="318"/>
      <c r="P52" s="318"/>
      <c r="Q52" s="318"/>
      <c r="R52" s="318"/>
      <c r="S52" s="318"/>
      <c r="T52" s="318"/>
      <c r="U52" s="318"/>
      <c r="V52" s="318"/>
      <c r="W52" s="318"/>
      <c r="X52" s="318"/>
      <c r="Y52" s="319"/>
    </row>
    <row r="53" spans="1:25" x14ac:dyDescent="0.25">
      <c r="A53" s="4"/>
      <c r="B53" s="4"/>
      <c r="C53" s="4"/>
      <c r="D53" s="4"/>
      <c r="E53" s="4"/>
      <c r="F53" s="320"/>
      <c r="G53" s="321"/>
      <c r="H53" s="321"/>
      <c r="I53" s="321"/>
      <c r="J53" s="321"/>
      <c r="K53" s="321"/>
      <c r="L53" s="321"/>
      <c r="M53" s="321"/>
      <c r="N53" s="321"/>
      <c r="O53" s="321"/>
      <c r="P53" s="321"/>
      <c r="Q53" s="321"/>
      <c r="R53" s="321"/>
      <c r="S53" s="321"/>
      <c r="T53" s="321"/>
      <c r="U53" s="321"/>
      <c r="V53" s="321"/>
      <c r="W53" s="321"/>
      <c r="X53" s="321"/>
      <c r="Y53" s="322"/>
    </row>
    <row r="54" spans="1:25" ht="15.75" thickBot="1" x14ac:dyDescent="0.3">
      <c r="A54" s="4"/>
      <c r="B54" s="4"/>
      <c r="C54" s="4"/>
      <c r="D54" s="4"/>
      <c r="E54" s="4"/>
      <c r="F54" s="323"/>
      <c r="G54" s="324"/>
      <c r="H54" s="324"/>
      <c r="I54" s="324"/>
      <c r="J54" s="324"/>
      <c r="K54" s="324"/>
      <c r="L54" s="324"/>
      <c r="M54" s="324"/>
      <c r="N54" s="324"/>
      <c r="O54" s="324"/>
      <c r="P54" s="324"/>
      <c r="Q54" s="324"/>
      <c r="R54" s="324"/>
      <c r="S54" s="324"/>
      <c r="T54" s="324"/>
      <c r="U54" s="324"/>
      <c r="V54" s="324"/>
      <c r="W54" s="324"/>
      <c r="X54" s="324"/>
      <c r="Y54" s="325"/>
    </row>
    <row r="55" spans="1:25" ht="15.75" thickBot="1" x14ac:dyDescent="0.3"/>
    <row r="56" spans="1:25" x14ac:dyDescent="0.25">
      <c r="A56" s="326" t="s">
        <v>46</v>
      </c>
      <c r="B56" s="326"/>
      <c r="C56" s="326"/>
      <c r="D56" s="326"/>
      <c r="E56" s="326"/>
      <c r="F56" s="326"/>
      <c r="G56" s="326"/>
      <c r="H56" s="326"/>
      <c r="I56" s="383" t="s">
        <v>369</v>
      </c>
      <c r="J56" s="384"/>
      <c r="K56" s="384"/>
      <c r="L56" s="384"/>
      <c r="M56" s="384"/>
      <c r="N56" s="384"/>
      <c r="O56" s="384"/>
      <c r="P56" s="384"/>
      <c r="Q56" s="384"/>
      <c r="R56" s="384"/>
      <c r="S56" s="384"/>
      <c r="T56" s="384"/>
      <c r="U56" s="384"/>
      <c r="V56" s="384"/>
      <c r="W56" s="384"/>
      <c r="X56" s="384"/>
      <c r="Y56" s="385"/>
    </row>
    <row r="57" spans="1:25" x14ac:dyDescent="0.25">
      <c r="A57" s="4"/>
      <c r="B57" s="4"/>
      <c r="C57" s="4"/>
      <c r="D57" s="4"/>
      <c r="E57" s="4"/>
      <c r="F57" s="4"/>
      <c r="G57" s="4"/>
      <c r="H57" s="4"/>
      <c r="I57" s="386"/>
      <c r="J57" s="387"/>
      <c r="K57" s="387"/>
      <c r="L57" s="387"/>
      <c r="M57" s="387"/>
      <c r="N57" s="387"/>
      <c r="O57" s="387"/>
      <c r="P57" s="387"/>
      <c r="Q57" s="387"/>
      <c r="R57" s="387"/>
      <c r="S57" s="387"/>
      <c r="T57" s="387"/>
      <c r="U57" s="387"/>
      <c r="V57" s="387"/>
      <c r="W57" s="387"/>
      <c r="X57" s="387"/>
      <c r="Y57" s="388"/>
    </row>
    <row r="58" spans="1:25" ht="15.75" thickBot="1" x14ac:dyDescent="0.3">
      <c r="A58" s="4"/>
      <c r="B58" s="4"/>
      <c r="C58" s="4"/>
      <c r="D58" s="4"/>
      <c r="E58" s="4"/>
      <c r="F58" s="4"/>
      <c r="G58" s="4"/>
      <c r="H58" s="4"/>
      <c r="I58" s="389"/>
      <c r="J58" s="390"/>
      <c r="K58" s="390"/>
      <c r="L58" s="390"/>
      <c r="M58" s="390"/>
      <c r="N58" s="390"/>
      <c r="O58" s="390"/>
      <c r="P58" s="390"/>
      <c r="Q58" s="390"/>
      <c r="R58" s="390"/>
      <c r="S58" s="390"/>
      <c r="T58" s="390"/>
      <c r="U58" s="390"/>
      <c r="V58" s="390"/>
      <c r="W58" s="390"/>
      <c r="X58" s="390"/>
      <c r="Y58" s="391"/>
    </row>
    <row r="59" spans="1:25" ht="15.75" thickBot="1" x14ac:dyDescent="0.3"/>
    <row r="60" spans="1:25" ht="15.75" thickBot="1" x14ac:dyDescent="0.3">
      <c r="A60" s="326" t="s">
        <v>47</v>
      </c>
      <c r="B60" s="326"/>
      <c r="C60" s="326"/>
      <c r="D60" s="326"/>
      <c r="E60" s="326"/>
      <c r="F60" s="302">
        <v>3</v>
      </c>
      <c r="G60" s="303"/>
      <c r="H60" s="303"/>
      <c r="I60" s="303"/>
      <c r="J60" s="303"/>
      <c r="K60" s="303"/>
      <c r="L60" s="303"/>
      <c r="M60" s="303"/>
      <c r="N60" s="303"/>
      <c r="O60" s="303"/>
      <c r="P60" s="303"/>
      <c r="Q60" s="303"/>
      <c r="R60" s="303"/>
      <c r="S60" s="303"/>
      <c r="T60" s="303"/>
      <c r="U60" s="303"/>
      <c r="V60" s="303"/>
      <c r="W60" s="303"/>
      <c r="X60" s="303"/>
      <c r="Y60" s="304"/>
    </row>
    <row r="63" spans="1:25" ht="15.75" thickBot="1" x14ac:dyDescent="0.3"/>
    <row r="64" spans="1:25" ht="16.5" thickBot="1" x14ac:dyDescent="0.3">
      <c r="A64" s="392" t="s">
        <v>44</v>
      </c>
      <c r="B64" s="392"/>
      <c r="C64" s="393" t="s">
        <v>377</v>
      </c>
      <c r="D64" s="394"/>
      <c r="E64" s="394"/>
      <c r="F64" s="394"/>
      <c r="G64" s="394"/>
      <c r="H64" s="394"/>
      <c r="I64" s="394"/>
      <c r="J64" s="394"/>
      <c r="K64" s="394"/>
      <c r="L64" s="394"/>
      <c r="M64" s="394"/>
      <c r="N64" s="394"/>
      <c r="O64" s="394"/>
      <c r="P64" s="394"/>
      <c r="Q64" s="394"/>
      <c r="R64" s="394"/>
      <c r="S64" s="394"/>
      <c r="T64" s="394"/>
      <c r="U64" s="394"/>
      <c r="V64" s="394"/>
      <c r="W64" s="394"/>
      <c r="X64" s="394"/>
      <c r="Y64" s="395"/>
    </row>
    <row r="65" spans="1:25" ht="15.75" thickBot="1" x14ac:dyDescent="0.3"/>
    <row r="66" spans="1:25" x14ac:dyDescent="0.25">
      <c r="A66" s="326" t="s">
        <v>45</v>
      </c>
      <c r="B66" s="326"/>
      <c r="C66" s="326"/>
      <c r="D66" s="326"/>
      <c r="E66" s="326"/>
      <c r="F66" s="317" t="s">
        <v>378</v>
      </c>
      <c r="G66" s="318"/>
      <c r="H66" s="318"/>
      <c r="I66" s="318"/>
      <c r="J66" s="318"/>
      <c r="K66" s="318"/>
      <c r="L66" s="318"/>
      <c r="M66" s="318"/>
      <c r="N66" s="318"/>
      <c r="O66" s="318"/>
      <c r="P66" s="318"/>
      <c r="Q66" s="318"/>
      <c r="R66" s="318"/>
      <c r="S66" s="318"/>
      <c r="T66" s="318"/>
      <c r="U66" s="318"/>
      <c r="V66" s="318"/>
      <c r="W66" s="318"/>
      <c r="X66" s="318"/>
      <c r="Y66" s="319"/>
    </row>
    <row r="67" spans="1:25" x14ac:dyDescent="0.25">
      <c r="A67" s="4"/>
      <c r="B67" s="4"/>
      <c r="C67" s="4"/>
      <c r="D67" s="4"/>
      <c r="E67" s="4"/>
      <c r="F67" s="320"/>
      <c r="G67" s="321"/>
      <c r="H67" s="321"/>
      <c r="I67" s="321"/>
      <c r="J67" s="321"/>
      <c r="K67" s="321"/>
      <c r="L67" s="321"/>
      <c r="M67" s="321"/>
      <c r="N67" s="321"/>
      <c r="O67" s="321"/>
      <c r="P67" s="321"/>
      <c r="Q67" s="321"/>
      <c r="R67" s="321"/>
      <c r="S67" s="321"/>
      <c r="T67" s="321"/>
      <c r="U67" s="321"/>
      <c r="V67" s="321"/>
      <c r="W67" s="321"/>
      <c r="X67" s="321"/>
      <c r="Y67" s="322"/>
    </row>
    <row r="68" spans="1:25" ht="15.75" thickBot="1" x14ac:dyDescent="0.3">
      <c r="A68" s="4"/>
      <c r="B68" s="4"/>
      <c r="C68" s="4"/>
      <c r="D68" s="4"/>
      <c r="E68" s="4"/>
      <c r="F68" s="323"/>
      <c r="G68" s="324"/>
      <c r="H68" s="324"/>
      <c r="I68" s="324"/>
      <c r="J68" s="324"/>
      <c r="K68" s="324"/>
      <c r="L68" s="324"/>
      <c r="M68" s="324"/>
      <c r="N68" s="324"/>
      <c r="O68" s="324"/>
      <c r="P68" s="324"/>
      <c r="Q68" s="324"/>
      <c r="R68" s="324"/>
      <c r="S68" s="324"/>
      <c r="T68" s="324"/>
      <c r="U68" s="324"/>
      <c r="V68" s="324"/>
      <c r="W68" s="324"/>
      <c r="X68" s="324"/>
      <c r="Y68" s="325"/>
    </row>
    <row r="69" spans="1:25" ht="15.75" thickBot="1" x14ac:dyDescent="0.3"/>
    <row r="70" spans="1:25" x14ac:dyDescent="0.25">
      <c r="A70" s="326" t="s">
        <v>46</v>
      </c>
      <c r="B70" s="326"/>
      <c r="C70" s="326"/>
      <c r="D70" s="326"/>
      <c r="E70" s="326"/>
      <c r="F70" s="326"/>
      <c r="G70" s="326"/>
      <c r="H70" s="326"/>
      <c r="I70" s="383" t="s">
        <v>369</v>
      </c>
      <c r="J70" s="384"/>
      <c r="K70" s="384"/>
      <c r="L70" s="384"/>
      <c r="M70" s="384"/>
      <c r="N70" s="384"/>
      <c r="O70" s="384"/>
      <c r="P70" s="384"/>
      <c r="Q70" s="384"/>
      <c r="R70" s="384"/>
      <c r="S70" s="384"/>
      <c r="T70" s="384"/>
      <c r="U70" s="384"/>
      <c r="V70" s="384"/>
      <c r="W70" s="384"/>
      <c r="X70" s="384"/>
      <c r="Y70" s="385"/>
    </row>
    <row r="71" spans="1:25" x14ac:dyDescent="0.25">
      <c r="A71" s="4"/>
      <c r="B71" s="4"/>
      <c r="C71" s="4"/>
      <c r="D71" s="4"/>
      <c r="E71" s="4"/>
      <c r="F71" s="4"/>
      <c r="G71" s="4"/>
      <c r="H71" s="4"/>
      <c r="I71" s="386"/>
      <c r="J71" s="387"/>
      <c r="K71" s="387"/>
      <c r="L71" s="387"/>
      <c r="M71" s="387"/>
      <c r="N71" s="387"/>
      <c r="O71" s="387"/>
      <c r="P71" s="387"/>
      <c r="Q71" s="387"/>
      <c r="R71" s="387"/>
      <c r="S71" s="387"/>
      <c r="T71" s="387"/>
      <c r="U71" s="387"/>
      <c r="V71" s="387"/>
      <c r="W71" s="387"/>
      <c r="X71" s="387"/>
      <c r="Y71" s="388"/>
    </row>
    <row r="72" spans="1:25" ht="15.75" thickBot="1" x14ac:dyDescent="0.3">
      <c r="A72" s="4"/>
      <c r="B72" s="4"/>
      <c r="C72" s="4"/>
      <c r="D72" s="4"/>
      <c r="E72" s="4"/>
      <c r="F72" s="4"/>
      <c r="G72" s="4"/>
      <c r="H72" s="4"/>
      <c r="I72" s="389"/>
      <c r="J72" s="390"/>
      <c r="K72" s="390"/>
      <c r="L72" s="390"/>
      <c r="M72" s="390"/>
      <c r="N72" s="390"/>
      <c r="O72" s="390"/>
      <c r="P72" s="390"/>
      <c r="Q72" s="390"/>
      <c r="R72" s="390"/>
      <c r="S72" s="390"/>
      <c r="T72" s="390"/>
      <c r="U72" s="390"/>
      <c r="V72" s="390"/>
      <c r="W72" s="390"/>
      <c r="X72" s="390"/>
      <c r="Y72" s="391"/>
    </row>
    <row r="73" spans="1:25" ht="15.75" thickBot="1" x14ac:dyDescent="0.3"/>
    <row r="74" spans="1:25" ht="15.75" thickBot="1" x14ac:dyDescent="0.3">
      <c r="A74" s="326" t="s">
        <v>47</v>
      </c>
      <c r="B74" s="326"/>
      <c r="C74" s="326"/>
      <c r="D74" s="326"/>
      <c r="E74" s="326"/>
      <c r="F74" s="302">
        <v>3</v>
      </c>
      <c r="G74" s="303"/>
      <c r="H74" s="303"/>
      <c r="I74" s="303"/>
      <c r="J74" s="303"/>
      <c r="K74" s="303"/>
      <c r="L74" s="303"/>
      <c r="M74" s="303"/>
      <c r="N74" s="303"/>
      <c r="O74" s="303"/>
      <c r="P74" s="303"/>
      <c r="Q74" s="303"/>
      <c r="R74" s="303"/>
      <c r="S74" s="303"/>
      <c r="T74" s="303"/>
      <c r="U74" s="303"/>
      <c r="V74" s="303"/>
      <c r="W74" s="303"/>
      <c r="X74" s="303"/>
      <c r="Y74" s="304"/>
    </row>
    <row r="77" spans="1:25" ht="15.75" thickBot="1" x14ac:dyDescent="0.3"/>
    <row r="78" spans="1:25" ht="16.5" thickBot="1" x14ac:dyDescent="0.3">
      <c r="A78" s="392" t="s">
        <v>44</v>
      </c>
      <c r="B78" s="392"/>
      <c r="C78" s="393" t="s">
        <v>379</v>
      </c>
      <c r="D78" s="394"/>
      <c r="E78" s="394"/>
      <c r="F78" s="394"/>
      <c r="G78" s="394"/>
      <c r="H78" s="394"/>
      <c r="I78" s="394"/>
      <c r="J78" s="394"/>
      <c r="K78" s="394"/>
      <c r="L78" s="394"/>
      <c r="M78" s="394"/>
      <c r="N78" s="394"/>
      <c r="O78" s="394"/>
      <c r="P78" s="394"/>
      <c r="Q78" s="394"/>
      <c r="R78" s="394"/>
      <c r="S78" s="394"/>
      <c r="T78" s="394"/>
      <c r="U78" s="394"/>
      <c r="V78" s="394"/>
      <c r="W78" s="394"/>
      <c r="X78" s="394"/>
      <c r="Y78" s="395"/>
    </row>
    <row r="79" spans="1:25" ht="15.75" thickBot="1" x14ac:dyDescent="0.3"/>
    <row r="80" spans="1:25" x14ac:dyDescent="0.25">
      <c r="A80" s="326" t="s">
        <v>45</v>
      </c>
      <c r="B80" s="326"/>
      <c r="C80" s="326"/>
      <c r="D80" s="326"/>
      <c r="E80" s="326"/>
      <c r="F80" s="317" t="s">
        <v>380</v>
      </c>
      <c r="G80" s="318"/>
      <c r="H80" s="318"/>
      <c r="I80" s="318"/>
      <c r="J80" s="318"/>
      <c r="K80" s="318"/>
      <c r="L80" s="318"/>
      <c r="M80" s="318"/>
      <c r="N80" s="318"/>
      <c r="O80" s="318"/>
      <c r="P80" s="318"/>
      <c r="Q80" s="318"/>
      <c r="R80" s="318"/>
      <c r="S80" s="318"/>
      <c r="T80" s="318"/>
      <c r="U80" s="318"/>
      <c r="V80" s="318"/>
      <c r="W80" s="318"/>
      <c r="X80" s="318"/>
      <c r="Y80" s="319"/>
    </row>
    <row r="81" spans="1:25" x14ac:dyDescent="0.25">
      <c r="A81" s="4"/>
      <c r="B81" s="4"/>
      <c r="C81" s="4"/>
      <c r="D81" s="4"/>
      <c r="E81" s="4"/>
      <c r="F81" s="320"/>
      <c r="G81" s="321"/>
      <c r="H81" s="321"/>
      <c r="I81" s="321"/>
      <c r="J81" s="321"/>
      <c r="K81" s="321"/>
      <c r="L81" s="321"/>
      <c r="M81" s="321"/>
      <c r="N81" s="321"/>
      <c r="O81" s="321"/>
      <c r="P81" s="321"/>
      <c r="Q81" s="321"/>
      <c r="R81" s="321"/>
      <c r="S81" s="321"/>
      <c r="T81" s="321"/>
      <c r="U81" s="321"/>
      <c r="V81" s="321"/>
      <c r="W81" s="321"/>
      <c r="X81" s="321"/>
      <c r="Y81" s="322"/>
    </row>
    <row r="82" spans="1:25" ht="15.75" thickBot="1" x14ac:dyDescent="0.3">
      <c r="A82" s="4"/>
      <c r="B82" s="4"/>
      <c r="C82" s="4"/>
      <c r="D82" s="4"/>
      <c r="E82" s="4"/>
      <c r="F82" s="323"/>
      <c r="G82" s="324"/>
      <c r="H82" s="324"/>
      <c r="I82" s="324"/>
      <c r="J82" s="324"/>
      <c r="K82" s="324"/>
      <c r="L82" s="324"/>
      <c r="M82" s="324"/>
      <c r="N82" s="324"/>
      <c r="O82" s="324"/>
      <c r="P82" s="324"/>
      <c r="Q82" s="324"/>
      <c r="R82" s="324"/>
      <c r="S82" s="324"/>
      <c r="T82" s="324"/>
      <c r="U82" s="324"/>
      <c r="V82" s="324"/>
      <c r="W82" s="324"/>
      <c r="X82" s="324"/>
      <c r="Y82" s="325"/>
    </row>
    <row r="83" spans="1:25" ht="15.75" thickBot="1" x14ac:dyDescent="0.3"/>
    <row r="84" spans="1:25" x14ac:dyDescent="0.25">
      <c r="A84" s="326" t="s">
        <v>46</v>
      </c>
      <c r="B84" s="326"/>
      <c r="C84" s="326"/>
      <c r="D84" s="326"/>
      <c r="E84" s="326"/>
      <c r="F84" s="326"/>
      <c r="G84" s="326"/>
      <c r="H84" s="326"/>
      <c r="I84" s="383" t="s">
        <v>381</v>
      </c>
      <c r="J84" s="384"/>
      <c r="K84" s="384"/>
      <c r="L84" s="384"/>
      <c r="M84" s="384"/>
      <c r="N84" s="384"/>
      <c r="O84" s="384"/>
      <c r="P84" s="384"/>
      <c r="Q84" s="384"/>
      <c r="R84" s="384"/>
      <c r="S84" s="384"/>
      <c r="T84" s="384"/>
      <c r="U84" s="384"/>
      <c r="V84" s="384"/>
      <c r="W84" s="384"/>
      <c r="X84" s="384"/>
      <c r="Y84" s="385"/>
    </row>
    <row r="85" spans="1:25" x14ac:dyDescent="0.25">
      <c r="A85" s="4"/>
      <c r="B85" s="4"/>
      <c r="C85" s="4"/>
      <c r="D85" s="4"/>
      <c r="E85" s="4"/>
      <c r="F85" s="4"/>
      <c r="G85" s="4"/>
      <c r="H85" s="4"/>
      <c r="I85" s="386"/>
      <c r="J85" s="387"/>
      <c r="K85" s="387"/>
      <c r="L85" s="387"/>
      <c r="M85" s="387"/>
      <c r="N85" s="387"/>
      <c r="O85" s="387"/>
      <c r="P85" s="387"/>
      <c r="Q85" s="387"/>
      <c r="R85" s="387"/>
      <c r="S85" s="387"/>
      <c r="T85" s="387"/>
      <c r="U85" s="387"/>
      <c r="V85" s="387"/>
      <c r="W85" s="387"/>
      <c r="X85" s="387"/>
      <c r="Y85" s="388"/>
    </row>
    <row r="86" spans="1:25" ht="15.75" thickBot="1" x14ac:dyDescent="0.3">
      <c r="A86" s="4"/>
      <c r="B86" s="4"/>
      <c r="C86" s="4"/>
      <c r="D86" s="4"/>
      <c r="E86" s="4"/>
      <c r="F86" s="4"/>
      <c r="G86" s="4"/>
      <c r="H86" s="4"/>
      <c r="I86" s="389"/>
      <c r="J86" s="390"/>
      <c r="K86" s="390"/>
      <c r="L86" s="390"/>
      <c r="M86" s="390"/>
      <c r="N86" s="390"/>
      <c r="O86" s="390"/>
      <c r="P86" s="390"/>
      <c r="Q86" s="390"/>
      <c r="R86" s="390"/>
      <c r="S86" s="390"/>
      <c r="T86" s="390"/>
      <c r="U86" s="390"/>
      <c r="V86" s="390"/>
      <c r="W86" s="390"/>
      <c r="X86" s="390"/>
      <c r="Y86" s="391"/>
    </row>
    <row r="87" spans="1:25" ht="15.75" thickBot="1" x14ac:dyDescent="0.3"/>
    <row r="88" spans="1:25" ht="15.75" thickBot="1" x14ac:dyDescent="0.3">
      <c r="A88" s="326" t="s">
        <v>47</v>
      </c>
      <c r="B88" s="326"/>
      <c r="C88" s="326"/>
      <c r="D88" s="326"/>
      <c r="E88" s="326"/>
      <c r="F88" s="302" t="s">
        <v>382</v>
      </c>
      <c r="G88" s="303"/>
      <c r="H88" s="303"/>
      <c r="I88" s="303"/>
      <c r="J88" s="303"/>
      <c r="K88" s="303"/>
      <c r="L88" s="303"/>
      <c r="M88" s="303"/>
      <c r="N88" s="303"/>
      <c r="O88" s="303"/>
      <c r="P88" s="303"/>
      <c r="Q88" s="303"/>
      <c r="R88" s="303"/>
      <c r="S88" s="303"/>
      <c r="T88" s="303"/>
      <c r="U88" s="303"/>
      <c r="V88" s="303"/>
      <c r="W88" s="303"/>
      <c r="X88" s="303"/>
      <c r="Y88" s="304"/>
    </row>
    <row r="91" spans="1:25" ht="15.75" thickBot="1" x14ac:dyDescent="0.3"/>
    <row r="92" spans="1:25" ht="16.5" thickBot="1" x14ac:dyDescent="0.3">
      <c r="A92" s="392" t="s">
        <v>44</v>
      </c>
      <c r="B92" s="392"/>
      <c r="C92" s="393"/>
      <c r="D92" s="394"/>
      <c r="E92" s="394"/>
      <c r="F92" s="394"/>
      <c r="G92" s="394"/>
      <c r="H92" s="394"/>
      <c r="I92" s="394"/>
      <c r="J92" s="394"/>
      <c r="K92" s="394"/>
      <c r="L92" s="394"/>
      <c r="M92" s="394"/>
      <c r="N92" s="394"/>
      <c r="O92" s="394"/>
      <c r="P92" s="394"/>
      <c r="Q92" s="394"/>
      <c r="R92" s="394"/>
      <c r="S92" s="394"/>
      <c r="T92" s="394"/>
      <c r="U92" s="394"/>
      <c r="V92" s="394"/>
      <c r="W92" s="394"/>
      <c r="X92" s="394"/>
      <c r="Y92" s="395"/>
    </row>
    <row r="93" spans="1:25" ht="15.75" thickBot="1" x14ac:dyDescent="0.3"/>
    <row r="94" spans="1:25" x14ac:dyDescent="0.25">
      <c r="A94" s="326" t="s">
        <v>45</v>
      </c>
      <c r="B94" s="326"/>
      <c r="C94" s="326"/>
      <c r="D94" s="326"/>
      <c r="E94" s="326"/>
      <c r="F94" s="383"/>
      <c r="G94" s="384"/>
      <c r="H94" s="384"/>
      <c r="I94" s="384"/>
      <c r="J94" s="384"/>
      <c r="K94" s="384"/>
      <c r="L94" s="384"/>
      <c r="M94" s="384"/>
      <c r="N94" s="384"/>
      <c r="O94" s="384"/>
      <c r="P94" s="384"/>
      <c r="Q94" s="384"/>
      <c r="R94" s="384"/>
      <c r="S94" s="384"/>
      <c r="T94" s="384"/>
      <c r="U94" s="384"/>
      <c r="V94" s="384"/>
      <c r="W94" s="384"/>
      <c r="X94" s="384"/>
      <c r="Y94" s="385"/>
    </row>
    <row r="95" spans="1:25" x14ac:dyDescent="0.25">
      <c r="A95" s="4"/>
      <c r="B95" s="4"/>
      <c r="C95" s="4"/>
      <c r="D95" s="4"/>
      <c r="E95" s="4"/>
      <c r="F95" s="386"/>
      <c r="G95" s="387"/>
      <c r="H95" s="387"/>
      <c r="I95" s="387"/>
      <c r="J95" s="387"/>
      <c r="K95" s="387"/>
      <c r="L95" s="387"/>
      <c r="M95" s="387"/>
      <c r="N95" s="387"/>
      <c r="O95" s="387"/>
      <c r="P95" s="387"/>
      <c r="Q95" s="387"/>
      <c r="R95" s="387"/>
      <c r="S95" s="387"/>
      <c r="T95" s="387"/>
      <c r="U95" s="387"/>
      <c r="V95" s="387"/>
      <c r="W95" s="387"/>
      <c r="X95" s="387"/>
      <c r="Y95" s="388"/>
    </row>
    <row r="96" spans="1:25" ht="15.75" thickBot="1" x14ac:dyDescent="0.3">
      <c r="A96" s="4"/>
      <c r="B96" s="4"/>
      <c r="C96" s="4"/>
      <c r="D96" s="4"/>
      <c r="E96" s="4"/>
      <c r="F96" s="389"/>
      <c r="G96" s="390"/>
      <c r="H96" s="390"/>
      <c r="I96" s="390"/>
      <c r="J96" s="390"/>
      <c r="K96" s="390"/>
      <c r="L96" s="390"/>
      <c r="M96" s="390"/>
      <c r="N96" s="390"/>
      <c r="O96" s="390"/>
      <c r="P96" s="390"/>
      <c r="Q96" s="390"/>
      <c r="R96" s="390"/>
      <c r="S96" s="390"/>
      <c r="T96" s="390"/>
      <c r="U96" s="390"/>
      <c r="V96" s="390"/>
      <c r="W96" s="390"/>
      <c r="X96" s="390"/>
      <c r="Y96" s="391"/>
    </row>
    <row r="97" spans="1:25" ht="15.75" thickBot="1" x14ac:dyDescent="0.3"/>
    <row r="98" spans="1:25" x14ac:dyDescent="0.25">
      <c r="A98" s="326" t="s">
        <v>46</v>
      </c>
      <c r="B98" s="326"/>
      <c r="C98" s="326"/>
      <c r="D98" s="326"/>
      <c r="E98" s="326"/>
      <c r="F98" s="326"/>
      <c r="G98" s="326"/>
      <c r="H98" s="326"/>
      <c r="I98" s="383"/>
      <c r="J98" s="384"/>
      <c r="K98" s="384"/>
      <c r="L98" s="384"/>
      <c r="M98" s="384"/>
      <c r="N98" s="384"/>
      <c r="O98" s="384"/>
      <c r="P98" s="384"/>
      <c r="Q98" s="384"/>
      <c r="R98" s="384"/>
      <c r="S98" s="384"/>
      <c r="T98" s="384"/>
      <c r="U98" s="384"/>
      <c r="V98" s="384"/>
      <c r="W98" s="384"/>
      <c r="X98" s="384"/>
      <c r="Y98" s="385"/>
    </row>
    <row r="99" spans="1:25" x14ac:dyDescent="0.25">
      <c r="A99" s="4"/>
      <c r="B99" s="4"/>
      <c r="C99" s="4"/>
      <c r="D99" s="4"/>
      <c r="E99" s="4"/>
      <c r="F99" s="4"/>
      <c r="G99" s="4"/>
      <c r="H99" s="4"/>
      <c r="I99" s="386"/>
      <c r="J99" s="387"/>
      <c r="K99" s="387"/>
      <c r="L99" s="387"/>
      <c r="M99" s="387"/>
      <c r="N99" s="387"/>
      <c r="O99" s="387"/>
      <c r="P99" s="387"/>
      <c r="Q99" s="387"/>
      <c r="R99" s="387"/>
      <c r="S99" s="387"/>
      <c r="T99" s="387"/>
      <c r="U99" s="387"/>
      <c r="V99" s="387"/>
      <c r="W99" s="387"/>
      <c r="X99" s="387"/>
      <c r="Y99" s="388"/>
    </row>
    <row r="100" spans="1:25" ht="15.75" thickBot="1" x14ac:dyDescent="0.3">
      <c r="A100" s="4"/>
      <c r="B100" s="4"/>
      <c r="C100" s="4"/>
      <c r="D100" s="4"/>
      <c r="E100" s="4"/>
      <c r="F100" s="4"/>
      <c r="G100" s="4"/>
      <c r="H100" s="4"/>
      <c r="I100" s="389"/>
      <c r="J100" s="390"/>
      <c r="K100" s="390"/>
      <c r="L100" s="390"/>
      <c r="M100" s="390"/>
      <c r="N100" s="390"/>
      <c r="O100" s="390"/>
      <c r="P100" s="390"/>
      <c r="Q100" s="390"/>
      <c r="R100" s="390"/>
      <c r="S100" s="390"/>
      <c r="T100" s="390"/>
      <c r="U100" s="390"/>
      <c r="V100" s="390"/>
      <c r="W100" s="390"/>
      <c r="X100" s="390"/>
      <c r="Y100" s="391"/>
    </row>
    <row r="101" spans="1:25" ht="15.75" thickBot="1" x14ac:dyDescent="0.3"/>
    <row r="102" spans="1:25" ht="15.75" thickBot="1" x14ac:dyDescent="0.3">
      <c r="A102" s="326" t="s">
        <v>47</v>
      </c>
      <c r="B102" s="326"/>
      <c r="C102" s="326"/>
      <c r="D102" s="326"/>
      <c r="E102" s="326"/>
      <c r="F102" s="302"/>
      <c r="G102" s="303"/>
      <c r="H102" s="303"/>
      <c r="I102" s="303"/>
      <c r="J102" s="303"/>
      <c r="K102" s="303"/>
      <c r="L102" s="303"/>
      <c r="M102" s="303"/>
      <c r="N102" s="303"/>
      <c r="O102" s="303"/>
      <c r="P102" s="303"/>
      <c r="Q102" s="303"/>
      <c r="R102" s="303"/>
      <c r="S102" s="303"/>
      <c r="T102" s="303"/>
      <c r="U102" s="303"/>
      <c r="V102" s="303"/>
      <c r="W102" s="303"/>
      <c r="X102" s="303"/>
      <c r="Y102" s="304"/>
    </row>
    <row r="105" spans="1:25" ht="15.75" thickBot="1" x14ac:dyDescent="0.3"/>
    <row r="106" spans="1:25" ht="16.5" thickBot="1" x14ac:dyDescent="0.3">
      <c r="A106" s="392" t="s">
        <v>44</v>
      </c>
      <c r="B106" s="392"/>
      <c r="C106" s="393"/>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5"/>
    </row>
    <row r="107" spans="1:25" ht="15.75" thickBot="1" x14ac:dyDescent="0.3"/>
    <row r="108" spans="1:25" x14ac:dyDescent="0.25">
      <c r="A108" s="326" t="s">
        <v>45</v>
      </c>
      <c r="B108" s="326"/>
      <c r="C108" s="326"/>
      <c r="D108" s="326"/>
      <c r="E108" s="326"/>
      <c r="F108" s="383"/>
      <c r="G108" s="384"/>
      <c r="H108" s="384"/>
      <c r="I108" s="384"/>
      <c r="J108" s="384"/>
      <c r="K108" s="384"/>
      <c r="L108" s="384"/>
      <c r="M108" s="384"/>
      <c r="N108" s="384"/>
      <c r="O108" s="384"/>
      <c r="P108" s="384"/>
      <c r="Q108" s="384"/>
      <c r="R108" s="384"/>
      <c r="S108" s="384"/>
      <c r="T108" s="384"/>
      <c r="U108" s="384"/>
      <c r="V108" s="384"/>
      <c r="W108" s="384"/>
      <c r="X108" s="384"/>
      <c r="Y108" s="385"/>
    </row>
    <row r="109" spans="1:25" x14ac:dyDescent="0.25">
      <c r="A109" s="4"/>
      <c r="B109" s="4"/>
      <c r="C109" s="4"/>
      <c r="D109" s="4"/>
      <c r="E109" s="4"/>
      <c r="F109" s="386"/>
      <c r="G109" s="387"/>
      <c r="H109" s="387"/>
      <c r="I109" s="387"/>
      <c r="J109" s="387"/>
      <c r="K109" s="387"/>
      <c r="L109" s="387"/>
      <c r="M109" s="387"/>
      <c r="N109" s="387"/>
      <c r="O109" s="387"/>
      <c r="P109" s="387"/>
      <c r="Q109" s="387"/>
      <c r="R109" s="387"/>
      <c r="S109" s="387"/>
      <c r="T109" s="387"/>
      <c r="U109" s="387"/>
      <c r="V109" s="387"/>
      <c r="W109" s="387"/>
      <c r="X109" s="387"/>
      <c r="Y109" s="388"/>
    </row>
    <row r="110" spans="1:25" ht="15.75" thickBot="1" x14ac:dyDescent="0.3">
      <c r="A110" s="4"/>
      <c r="B110" s="4"/>
      <c r="C110" s="4"/>
      <c r="D110" s="4"/>
      <c r="E110" s="4"/>
      <c r="F110" s="389"/>
      <c r="G110" s="390"/>
      <c r="H110" s="390"/>
      <c r="I110" s="390"/>
      <c r="J110" s="390"/>
      <c r="K110" s="390"/>
      <c r="L110" s="390"/>
      <c r="M110" s="390"/>
      <c r="N110" s="390"/>
      <c r="O110" s="390"/>
      <c r="P110" s="390"/>
      <c r="Q110" s="390"/>
      <c r="R110" s="390"/>
      <c r="S110" s="390"/>
      <c r="T110" s="390"/>
      <c r="U110" s="390"/>
      <c r="V110" s="390"/>
      <c r="W110" s="390"/>
      <c r="X110" s="390"/>
      <c r="Y110" s="391"/>
    </row>
    <row r="111" spans="1:25" ht="15.75" thickBot="1" x14ac:dyDescent="0.3"/>
    <row r="112" spans="1:25" x14ac:dyDescent="0.25">
      <c r="A112" s="326" t="s">
        <v>46</v>
      </c>
      <c r="B112" s="326"/>
      <c r="C112" s="326"/>
      <c r="D112" s="326"/>
      <c r="E112" s="326"/>
      <c r="F112" s="326"/>
      <c r="G112" s="326"/>
      <c r="H112" s="326"/>
      <c r="I112" s="383"/>
      <c r="J112" s="384"/>
      <c r="K112" s="384"/>
      <c r="L112" s="384"/>
      <c r="M112" s="384"/>
      <c r="N112" s="384"/>
      <c r="O112" s="384"/>
      <c r="P112" s="384"/>
      <c r="Q112" s="384"/>
      <c r="R112" s="384"/>
      <c r="S112" s="384"/>
      <c r="T112" s="384"/>
      <c r="U112" s="384"/>
      <c r="V112" s="384"/>
      <c r="W112" s="384"/>
      <c r="X112" s="384"/>
      <c r="Y112" s="385"/>
    </row>
    <row r="113" spans="1:25" x14ac:dyDescent="0.25">
      <c r="A113" s="4"/>
      <c r="B113" s="4"/>
      <c r="C113" s="4"/>
      <c r="D113" s="4"/>
      <c r="E113" s="4"/>
      <c r="F113" s="4"/>
      <c r="G113" s="4"/>
      <c r="H113" s="4"/>
      <c r="I113" s="386"/>
      <c r="J113" s="387"/>
      <c r="K113" s="387"/>
      <c r="L113" s="387"/>
      <c r="M113" s="387"/>
      <c r="N113" s="387"/>
      <c r="O113" s="387"/>
      <c r="P113" s="387"/>
      <c r="Q113" s="387"/>
      <c r="R113" s="387"/>
      <c r="S113" s="387"/>
      <c r="T113" s="387"/>
      <c r="U113" s="387"/>
      <c r="V113" s="387"/>
      <c r="W113" s="387"/>
      <c r="X113" s="387"/>
      <c r="Y113" s="388"/>
    </row>
    <row r="114" spans="1:25" ht="15.75" thickBot="1" x14ac:dyDescent="0.3">
      <c r="A114" s="4"/>
      <c r="B114" s="4"/>
      <c r="C114" s="4"/>
      <c r="D114" s="4"/>
      <c r="E114" s="4"/>
      <c r="F114" s="4"/>
      <c r="G114" s="4"/>
      <c r="H114" s="4"/>
      <c r="I114" s="389"/>
      <c r="J114" s="390"/>
      <c r="K114" s="390"/>
      <c r="L114" s="390"/>
      <c r="M114" s="390"/>
      <c r="N114" s="390"/>
      <c r="O114" s="390"/>
      <c r="P114" s="390"/>
      <c r="Q114" s="390"/>
      <c r="R114" s="390"/>
      <c r="S114" s="390"/>
      <c r="T114" s="390"/>
      <c r="U114" s="390"/>
      <c r="V114" s="390"/>
      <c r="W114" s="390"/>
      <c r="X114" s="390"/>
      <c r="Y114" s="391"/>
    </row>
    <row r="115" spans="1:25" ht="15.75" thickBot="1" x14ac:dyDescent="0.3"/>
    <row r="116" spans="1:25" ht="15.75" thickBot="1" x14ac:dyDescent="0.3">
      <c r="A116" s="326" t="s">
        <v>47</v>
      </c>
      <c r="B116" s="326"/>
      <c r="C116" s="326"/>
      <c r="D116" s="326"/>
      <c r="E116" s="326"/>
      <c r="F116" s="302"/>
      <c r="G116" s="303"/>
      <c r="H116" s="303"/>
      <c r="I116" s="303"/>
      <c r="J116" s="303"/>
      <c r="K116" s="303"/>
      <c r="L116" s="303"/>
      <c r="M116" s="303"/>
      <c r="N116" s="303"/>
      <c r="O116" s="303"/>
      <c r="P116" s="303"/>
      <c r="Q116" s="303"/>
      <c r="R116" s="303"/>
      <c r="S116" s="303"/>
      <c r="T116" s="303"/>
      <c r="U116" s="303"/>
      <c r="V116" s="303"/>
      <c r="W116" s="303"/>
      <c r="X116" s="303"/>
      <c r="Y116" s="304"/>
    </row>
    <row r="119" spans="1:25" ht="15.75" thickBot="1" x14ac:dyDescent="0.3"/>
    <row r="120" spans="1:25" ht="16.5" thickBot="1" x14ac:dyDescent="0.3">
      <c r="A120" s="392" t="s">
        <v>44</v>
      </c>
      <c r="B120" s="392"/>
      <c r="C120" s="393"/>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5"/>
    </row>
    <row r="121" spans="1:25" ht="15.75" thickBot="1" x14ac:dyDescent="0.3"/>
    <row r="122" spans="1:25" x14ac:dyDescent="0.25">
      <c r="A122" s="326" t="s">
        <v>45</v>
      </c>
      <c r="B122" s="326"/>
      <c r="C122" s="326"/>
      <c r="D122" s="326"/>
      <c r="E122" s="326"/>
      <c r="F122" s="383"/>
      <c r="G122" s="384"/>
      <c r="H122" s="384"/>
      <c r="I122" s="384"/>
      <c r="J122" s="384"/>
      <c r="K122" s="384"/>
      <c r="L122" s="384"/>
      <c r="M122" s="384"/>
      <c r="N122" s="384"/>
      <c r="O122" s="384"/>
      <c r="P122" s="384"/>
      <c r="Q122" s="384"/>
      <c r="R122" s="384"/>
      <c r="S122" s="384"/>
      <c r="T122" s="384"/>
      <c r="U122" s="384"/>
      <c r="V122" s="384"/>
      <c r="W122" s="384"/>
      <c r="X122" s="384"/>
      <c r="Y122" s="385"/>
    </row>
    <row r="123" spans="1:25" x14ac:dyDescent="0.25">
      <c r="A123" s="4"/>
      <c r="B123" s="4"/>
      <c r="C123" s="4"/>
      <c r="D123" s="4"/>
      <c r="E123" s="4"/>
      <c r="F123" s="386"/>
      <c r="G123" s="387"/>
      <c r="H123" s="387"/>
      <c r="I123" s="387"/>
      <c r="J123" s="387"/>
      <c r="K123" s="387"/>
      <c r="L123" s="387"/>
      <c r="M123" s="387"/>
      <c r="N123" s="387"/>
      <c r="O123" s="387"/>
      <c r="P123" s="387"/>
      <c r="Q123" s="387"/>
      <c r="R123" s="387"/>
      <c r="S123" s="387"/>
      <c r="T123" s="387"/>
      <c r="U123" s="387"/>
      <c r="V123" s="387"/>
      <c r="W123" s="387"/>
      <c r="X123" s="387"/>
      <c r="Y123" s="388"/>
    </row>
    <row r="124" spans="1:25" ht="15.75" thickBot="1" x14ac:dyDescent="0.3">
      <c r="A124" s="4"/>
      <c r="B124" s="4"/>
      <c r="C124" s="4"/>
      <c r="D124" s="4"/>
      <c r="E124" s="4"/>
      <c r="F124" s="389"/>
      <c r="G124" s="390"/>
      <c r="H124" s="390"/>
      <c r="I124" s="390"/>
      <c r="J124" s="390"/>
      <c r="K124" s="390"/>
      <c r="L124" s="390"/>
      <c r="M124" s="390"/>
      <c r="N124" s="390"/>
      <c r="O124" s="390"/>
      <c r="P124" s="390"/>
      <c r="Q124" s="390"/>
      <c r="R124" s="390"/>
      <c r="S124" s="390"/>
      <c r="T124" s="390"/>
      <c r="U124" s="390"/>
      <c r="V124" s="390"/>
      <c r="W124" s="390"/>
      <c r="X124" s="390"/>
      <c r="Y124" s="391"/>
    </row>
    <row r="125" spans="1:25" ht="15.75" thickBot="1" x14ac:dyDescent="0.3"/>
    <row r="126" spans="1:25" x14ac:dyDescent="0.25">
      <c r="A126" s="326" t="s">
        <v>46</v>
      </c>
      <c r="B126" s="326"/>
      <c r="C126" s="326"/>
      <c r="D126" s="326"/>
      <c r="E126" s="326"/>
      <c r="F126" s="326"/>
      <c r="G126" s="326"/>
      <c r="H126" s="326"/>
      <c r="I126" s="383"/>
      <c r="J126" s="384"/>
      <c r="K126" s="384"/>
      <c r="L126" s="384"/>
      <c r="M126" s="384"/>
      <c r="N126" s="384"/>
      <c r="O126" s="384"/>
      <c r="P126" s="384"/>
      <c r="Q126" s="384"/>
      <c r="R126" s="384"/>
      <c r="S126" s="384"/>
      <c r="T126" s="384"/>
      <c r="U126" s="384"/>
      <c r="V126" s="384"/>
      <c r="W126" s="384"/>
      <c r="X126" s="384"/>
      <c r="Y126" s="385"/>
    </row>
    <row r="127" spans="1:25" x14ac:dyDescent="0.25">
      <c r="A127" s="4"/>
      <c r="B127" s="4"/>
      <c r="C127" s="4"/>
      <c r="D127" s="4"/>
      <c r="E127" s="4"/>
      <c r="F127" s="4"/>
      <c r="G127" s="4"/>
      <c r="H127" s="4"/>
      <c r="I127" s="386"/>
      <c r="J127" s="387"/>
      <c r="K127" s="387"/>
      <c r="L127" s="387"/>
      <c r="M127" s="387"/>
      <c r="N127" s="387"/>
      <c r="O127" s="387"/>
      <c r="P127" s="387"/>
      <c r="Q127" s="387"/>
      <c r="R127" s="387"/>
      <c r="S127" s="387"/>
      <c r="T127" s="387"/>
      <c r="U127" s="387"/>
      <c r="V127" s="387"/>
      <c r="W127" s="387"/>
      <c r="X127" s="387"/>
      <c r="Y127" s="388"/>
    </row>
    <row r="128" spans="1:25" ht="15.75" thickBot="1" x14ac:dyDescent="0.3">
      <c r="A128" s="4"/>
      <c r="B128" s="4"/>
      <c r="C128" s="4"/>
      <c r="D128" s="4"/>
      <c r="E128" s="4"/>
      <c r="F128" s="4"/>
      <c r="G128" s="4"/>
      <c r="H128" s="4"/>
      <c r="I128" s="389"/>
      <c r="J128" s="390"/>
      <c r="K128" s="390"/>
      <c r="L128" s="390"/>
      <c r="M128" s="390"/>
      <c r="N128" s="390"/>
      <c r="O128" s="390"/>
      <c r="P128" s="390"/>
      <c r="Q128" s="390"/>
      <c r="R128" s="390"/>
      <c r="S128" s="390"/>
      <c r="T128" s="390"/>
      <c r="U128" s="390"/>
      <c r="V128" s="390"/>
      <c r="W128" s="390"/>
      <c r="X128" s="390"/>
      <c r="Y128" s="391"/>
    </row>
    <row r="129" spans="1:25" ht="15.75" thickBot="1" x14ac:dyDescent="0.3"/>
    <row r="130" spans="1:25" ht="15.75" thickBot="1" x14ac:dyDescent="0.3">
      <c r="A130" s="326" t="s">
        <v>47</v>
      </c>
      <c r="B130" s="326"/>
      <c r="C130" s="326"/>
      <c r="D130" s="326"/>
      <c r="E130" s="396"/>
      <c r="F130" s="302"/>
      <c r="G130" s="303"/>
      <c r="H130" s="303"/>
      <c r="I130" s="303"/>
      <c r="J130" s="303"/>
      <c r="K130" s="303"/>
      <c r="L130" s="303"/>
      <c r="M130" s="303"/>
      <c r="N130" s="303"/>
      <c r="O130" s="303"/>
      <c r="P130" s="303"/>
      <c r="Q130" s="303"/>
      <c r="R130" s="303"/>
      <c r="S130" s="303"/>
      <c r="T130" s="303"/>
      <c r="U130" s="303"/>
      <c r="V130" s="303"/>
      <c r="W130" s="303"/>
      <c r="X130" s="303"/>
      <c r="Y130" s="304"/>
    </row>
    <row r="133" spans="1:25" ht="15.75" thickBot="1" x14ac:dyDescent="0.3"/>
    <row r="134" spans="1:25" ht="16.5" thickBot="1" x14ac:dyDescent="0.3">
      <c r="A134" s="392" t="s">
        <v>44</v>
      </c>
      <c r="B134" s="392"/>
      <c r="C134" s="393"/>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5"/>
    </row>
    <row r="135" spans="1:25" ht="15.75" thickBot="1" x14ac:dyDescent="0.3"/>
    <row r="136" spans="1:25" x14ac:dyDescent="0.25">
      <c r="A136" s="326" t="s">
        <v>45</v>
      </c>
      <c r="B136" s="326"/>
      <c r="C136" s="326"/>
      <c r="D136" s="326"/>
      <c r="E136" s="326"/>
      <c r="F136" s="383"/>
      <c r="G136" s="384"/>
      <c r="H136" s="384"/>
      <c r="I136" s="384"/>
      <c r="J136" s="384"/>
      <c r="K136" s="384"/>
      <c r="L136" s="384"/>
      <c r="M136" s="384"/>
      <c r="N136" s="384"/>
      <c r="O136" s="384"/>
      <c r="P136" s="384"/>
      <c r="Q136" s="384"/>
      <c r="R136" s="384"/>
      <c r="S136" s="384"/>
      <c r="T136" s="384"/>
      <c r="U136" s="384"/>
      <c r="V136" s="384"/>
      <c r="W136" s="384"/>
      <c r="X136" s="384"/>
      <c r="Y136" s="385"/>
    </row>
    <row r="137" spans="1:25" x14ac:dyDescent="0.25">
      <c r="A137" s="4"/>
      <c r="B137" s="4"/>
      <c r="C137" s="4"/>
      <c r="D137" s="4"/>
      <c r="E137" s="4"/>
      <c r="F137" s="386"/>
      <c r="G137" s="387"/>
      <c r="H137" s="387"/>
      <c r="I137" s="387"/>
      <c r="J137" s="387"/>
      <c r="K137" s="387"/>
      <c r="L137" s="387"/>
      <c r="M137" s="387"/>
      <c r="N137" s="387"/>
      <c r="O137" s="387"/>
      <c r="P137" s="387"/>
      <c r="Q137" s="387"/>
      <c r="R137" s="387"/>
      <c r="S137" s="387"/>
      <c r="T137" s="387"/>
      <c r="U137" s="387"/>
      <c r="V137" s="387"/>
      <c r="W137" s="387"/>
      <c r="X137" s="387"/>
      <c r="Y137" s="388"/>
    </row>
    <row r="138" spans="1:25" ht="15.75" thickBot="1" x14ac:dyDescent="0.3">
      <c r="A138" s="4"/>
      <c r="B138" s="4"/>
      <c r="C138" s="4"/>
      <c r="D138" s="4"/>
      <c r="E138" s="4"/>
      <c r="F138" s="389"/>
      <c r="G138" s="390"/>
      <c r="H138" s="390"/>
      <c r="I138" s="390"/>
      <c r="J138" s="390"/>
      <c r="K138" s="390"/>
      <c r="L138" s="390"/>
      <c r="M138" s="390"/>
      <c r="N138" s="390"/>
      <c r="O138" s="390"/>
      <c r="P138" s="390"/>
      <c r="Q138" s="390"/>
      <c r="R138" s="390"/>
      <c r="S138" s="390"/>
      <c r="T138" s="390"/>
      <c r="U138" s="390"/>
      <c r="V138" s="390"/>
      <c r="W138" s="390"/>
      <c r="X138" s="390"/>
      <c r="Y138" s="391"/>
    </row>
    <row r="139" spans="1:25" ht="15.75" thickBot="1" x14ac:dyDescent="0.3"/>
    <row r="140" spans="1:25" x14ac:dyDescent="0.25">
      <c r="A140" s="326" t="s">
        <v>46</v>
      </c>
      <c r="B140" s="326"/>
      <c r="C140" s="326"/>
      <c r="D140" s="326"/>
      <c r="E140" s="326"/>
      <c r="F140" s="326"/>
      <c r="G140" s="326"/>
      <c r="H140" s="326"/>
      <c r="I140" s="383"/>
      <c r="J140" s="384"/>
      <c r="K140" s="384"/>
      <c r="L140" s="384"/>
      <c r="M140" s="384"/>
      <c r="N140" s="384"/>
      <c r="O140" s="384"/>
      <c r="P140" s="384"/>
      <c r="Q140" s="384"/>
      <c r="R140" s="384"/>
      <c r="S140" s="384"/>
      <c r="T140" s="384"/>
      <c r="U140" s="384"/>
      <c r="V140" s="384"/>
      <c r="W140" s="384"/>
      <c r="X140" s="384"/>
      <c r="Y140" s="385"/>
    </row>
    <row r="141" spans="1:25" x14ac:dyDescent="0.25">
      <c r="A141" s="4"/>
      <c r="B141" s="4"/>
      <c r="C141" s="4"/>
      <c r="D141" s="4"/>
      <c r="E141" s="4"/>
      <c r="F141" s="4"/>
      <c r="G141" s="4"/>
      <c r="H141" s="4"/>
      <c r="I141" s="386"/>
      <c r="J141" s="387"/>
      <c r="K141" s="387"/>
      <c r="L141" s="387"/>
      <c r="M141" s="387"/>
      <c r="N141" s="387"/>
      <c r="O141" s="387"/>
      <c r="P141" s="387"/>
      <c r="Q141" s="387"/>
      <c r="R141" s="387"/>
      <c r="S141" s="387"/>
      <c r="T141" s="387"/>
      <c r="U141" s="387"/>
      <c r="V141" s="387"/>
      <c r="W141" s="387"/>
      <c r="X141" s="387"/>
      <c r="Y141" s="388"/>
    </row>
    <row r="142" spans="1:25" ht="15.75" thickBot="1" x14ac:dyDescent="0.3">
      <c r="A142" s="4"/>
      <c r="B142" s="4"/>
      <c r="C142" s="4"/>
      <c r="D142" s="4"/>
      <c r="E142" s="4"/>
      <c r="F142" s="4"/>
      <c r="G142" s="4"/>
      <c r="H142" s="4"/>
      <c r="I142" s="389"/>
      <c r="J142" s="390"/>
      <c r="K142" s="390"/>
      <c r="L142" s="390"/>
      <c r="M142" s="390"/>
      <c r="N142" s="390"/>
      <c r="O142" s="390"/>
      <c r="P142" s="390"/>
      <c r="Q142" s="390"/>
      <c r="R142" s="390"/>
      <c r="S142" s="390"/>
      <c r="T142" s="390"/>
      <c r="U142" s="390"/>
      <c r="V142" s="390"/>
      <c r="W142" s="390"/>
      <c r="X142" s="390"/>
      <c r="Y142" s="391"/>
    </row>
    <row r="143" spans="1:25" ht="15.75" thickBot="1" x14ac:dyDescent="0.3"/>
    <row r="144" spans="1:25" ht="15.75" thickBot="1" x14ac:dyDescent="0.3">
      <c r="A144" s="326" t="s">
        <v>47</v>
      </c>
      <c r="B144" s="326"/>
      <c r="C144" s="326"/>
      <c r="D144" s="326"/>
      <c r="E144" s="326"/>
      <c r="F144" s="302"/>
      <c r="G144" s="303"/>
      <c r="H144" s="303"/>
      <c r="I144" s="303"/>
      <c r="J144" s="303"/>
      <c r="K144" s="303"/>
      <c r="L144" s="303"/>
      <c r="M144" s="303"/>
      <c r="N144" s="303"/>
      <c r="O144" s="303"/>
      <c r="P144" s="303"/>
      <c r="Q144" s="303"/>
      <c r="R144" s="303"/>
      <c r="S144" s="303"/>
      <c r="T144" s="303"/>
      <c r="U144" s="303"/>
      <c r="V144" s="303"/>
      <c r="W144" s="303"/>
      <c r="X144" s="303"/>
      <c r="Y144" s="304"/>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92" t="s">
        <v>44</v>
      </c>
      <c r="B148" s="392"/>
      <c r="C148" s="393"/>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5"/>
    </row>
    <row r="149" spans="1:25" ht="15.75" thickBot="1" x14ac:dyDescent="0.3"/>
    <row r="150" spans="1:25" x14ac:dyDescent="0.25">
      <c r="A150" s="326" t="s">
        <v>45</v>
      </c>
      <c r="B150" s="326"/>
      <c r="C150" s="326"/>
      <c r="D150" s="326"/>
      <c r="E150" s="326"/>
      <c r="F150" s="383"/>
      <c r="G150" s="384"/>
      <c r="H150" s="384"/>
      <c r="I150" s="384"/>
      <c r="J150" s="384"/>
      <c r="K150" s="384"/>
      <c r="L150" s="384"/>
      <c r="M150" s="384"/>
      <c r="N150" s="384"/>
      <c r="O150" s="384"/>
      <c r="P150" s="384"/>
      <c r="Q150" s="384"/>
      <c r="R150" s="384"/>
      <c r="S150" s="384"/>
      <c r="T150" s="384"/>
      <c r="U150" s="384"/>
      <c r="V150" s="384"/>
      <c r="W150" s="384"/>
      <c r="X150" s="384"/>
      <c r="Y150" s="385"/>
    </row>
    <row r="151" spans="1:25" x14ac:dyDescent="0.25">
      <c r="A151" s="4"/>
      <c r="B151" s="4"/>
      <c r="C151" s="4"/>
      <c r="D151" s="4"/>
      <c r="E151" s="4"/>
      <c r="F151" s="386"/>
      <c r="G151" s="387"/>
      <c r="H151" s="387"/>
      <c r="I151" s="387"/>
      <c r="J151" s="387"/>
      <c r="K151" s="387"/>
      <c r="L151" s="387"/>
      <c r="M151" s="387"/>
      <c r="N151" s="387"/>
      <c r="O151" s="387"/>
      <c r="P151" s="387"/>
      <c r="Q151" s="387"/>
      <c r="R151" s="387"/>
      <c r="S151" s="387"/>
      <c r="T151" s="387"/>
      <c r="U151" s="387"/>
      <c r="V151" s="387"/>
      <c r="W151" s="387"/>
      <c r="X151" s="387"/>
      <c r="Y151" s="388"/>
    </row>
    <row r="152" spans="1:25" ht="15.75" thickBot="1" x14ac:dyDescent="0.3">
      <c r="A152" s="4"/>
      <c r="B152" s="4"/>
      <c r="C152" s="4"/>
      <c r="D152" s="4"/>
      <c r="E152" s="4"/>
      <c r="F152" s="389"/>
      <c r="G152" s="390"/>
      <c r="H152" s="390"/>
      <c r="I152" s="390"/>
      <c r="J152" s="390"/>
      <c r="K152" s="390"/>
      <c r="L152" s="390"/>
      <c r="M152" s="390"/>
      <c r="N152" s="390"/>
      <c r="O152" s="390"/>
      <c r="P152" s="390"/>
      <c r="Q152" s="390"/>
      <c r="R152" s="390"/>
      <c r="S152" s="390"/>
      <c r="T152" s="390"/>
      <c r="U152" s="390"/>
      <c r="V152" s="390"/>
      <c r="W152" s="390"/>
      <c r="X152" s="390"/>
      <c r="Y152" s="391"/>
    </row>
    <row r="153" spans="1:25" ht="15.75" thickBot="1" x14ac:dyDescent="0.3"/>
    <row r="154" spans="1:25" x14ac:dyDescent="0.25">
      <c r="A154" s="326" t="s">
        <v>46</v>
      </c>
      <c r="B154" s="326"/>
      <c r="C154" s="326"/>
      <c r="D154" s="326"/>
      <c r="E154" s="326"/>
      <c r="F154" s="326"/>
      <c r="G154" s="326"/>
      <c r="H154" s="326"/>
      <c r="I154" s="383"/>
      <c r="J154" s="384"/>
      <c r="K154" s="384"/>
      <c r="L154" s="384"/>
      <c r="M154" s="384"/>
      <c r="N154" s="384"/>
      <c r="O154" s="384"/>
      <c r="P154" s="384"/>
      <c r="Q154" s="384"/>
      <c r="R154" s="384"/>
      <c r="S154" s="384"/>
      <c r="T154" s="384"/>
      <c r="U154" s="384"/>
      <c r="V154" s="384"/>
      <c r="W154" s="384"/>
      <c r="X154" s="384"/>
      <c r="Y154" s="385"/>
    </row>
    <row r="155" spans="1:25" x14ac:dyDescent="0.25">
      <c r="A155" s="4"/>
      <c r="B155" s="4"/>
      <c r="C155" s="4"/>
      <c r="D155" s="4"/>
      <c r="E155" s="4"/>
      <c r="F155" s="4"/>
      <c r="G155" s="4"/>
      <c r="H155" s="4"/>
      <c r="I155" s="386"/>
      <c r="J155" s="387"/>
      <c r="K155" s="387"/>
      <c r="L155" s="387"/>
      <c r="M155" s="387"/>
      <c r="N155" s="387"/>
      <c r="O155" s="387"/>
      <c r="P155" s="387"/>
      <c r="Q155" s="387"/>
      <c r="R155" s="387"/>
      <c r="S155" s="387"/>
      <c r="T155" s="387"/>
      <c r="U155" s="387"/>
      <c r="V155" s="387"/>
      <c r="W155" s="387"/>
      <c r="X155" s="387"/>
      <c r="Y155" s="388"/>
    </row>
    <row r="156" spans="1:25" ht="15.75" thickBot="1" x14ac:dyDescent="0.3">
      <c r="A156" s="4"/>
      <c r="B156" s="4"/>
      <c r="C156" s="4"/>
      <c r="D156" s="4"/>
      <c r="E156" s="4"/>
      <c r="F156" s="4"/>
      <c r="G156" s="4"/>
      <c r="H156" s="4"/>
      <c r="I156" s="389"/>
      <c r="J156" s="390"/>
      <c r="K156" s="390"/>
      <c r="L156" s="390"/>
      <c r="M156" s="390"/>
      <c r="N156" s="390"/>
      <c r="O156" s="390"/>
      <c r="P156" s="390"/>
      <c r="Q156" s="390"/>
      <c r="R156" s="390"/>
      <c r="S156" s="390"/>
      <c r="T156" s="390"/>
      <c r="U156" s="390"/>
      <c r="V156" s="390"/>
      <c r="W156" s="390"/>
      <c r="X156" s="390"/>
      <c r="Y156" s="391"/>
    </row>
    <row r="157" spans="1:25" ht="15.75" thickBot="1" x14ac:dyDescent="0.3"/>
    <row r="158" spans="1:25" ht="15.75" thickBot="1" x14ac:dyDescent="0.3">
      <c r="A158" s="326" t="s">
        <v>47</v>
      </c>
      <c r="B158" s="326"/>
      <c r="C158" s="326"/>
      <c r="D158" s="326"/>
      <c r="E158" s="326"/>
      <c r="F158" s="302"/>
      <c r="G158" s="303"/>
      <c r="H158" s="303"/>
      <c r="I158" s="303"/>
      <c r="J158" s="303"/>
      <c r="K158" s="303"/>
      <c r="L158" s="303"/>
      <c r="M158" s="303"/>
      <c r="N158" s="303"/>
      <c r="O158" s="303"/>
      <c r="P158" s="303"/>
      <c r="Q158" s="303"/>
      <c r="R158" s="303"/>
      <c r="S158" s="303"/>
      <c r="T158" s="303"/>
      <c r="U158" s="303"/>
      <c r="V158" s="303"/>
      <c r="W158" s="303"/>
      <c r="X158" s="303"/>
      <c r="Y158" s="304"/>
    </row>
    <row r="161" spans="1:25" ht="15.75" thickBot="1" x14ac:dyDescent="0.3"/>
    <row r="162" spans="1:25" ht="16.5" thickBot="1" x14ac:dyDescent="0.3">
      <c r="A162" s="392" t="s">
        <v>44</v>
      </c>
      <c r="B162" s="392"/>
      <c r="C162" s="393"/>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5"/>
    </row>
    <row r="163" spans="1:25" ht="15.75" thickBot="1" x14ac:dyDescent="0.3"/>
    <row r="164" spans="1:25" x14ac:dyDescent="0.25">
      <c r="A164" s="326" t="s">
        <v>45</v>
      </c>
      <c r="B164" s="326"/>
      <c r="C164" s="326"/>
      <c r="D164" s="326"/>
      <c r="E164" s="326"/>
      <c r="F164" s="383"/>
      <c r="G164" s="384"/>
      <c r="H164" s="384"/>
      <c r="I164" s="384"/>
      <c r="J164" s="384"/>
      <c r="K164" s="384"/>
      <c r="L164" s="384"/>
      <c r="M164" s="384"/>
      <c r="N164" s="384"/>
      <c r="O164" s="384"/>
      <c r="P164" s="384"/>
      <c r="Q164" s="384"/>
      <c r="R164" s="384"/>
      <c r="S164" s="384"/>
      <c r="T164" s="384"/>
      <c r="U164" s="384"/>
      <c r="V164" s="384"/>
      <c r="W164" s="384"/>
      <c r="X164" s="384"/>
      <c r="Y164" s="385"/>
    </row>
    <row r="165" spans="1:25" x14ac:dyDescent="0.25">
      <c r="A165" s="4"/>
      <c r="B165" s="4"/>
      <c r="C165" s="4"/>
      <c r="D165" s="4"/>
      <c r="E165" s="4"/>
      <c r="F165" s="386"/>
      <c r="G165" s="387"/>
      <c r="H165" s="387"/>
      <c r="I165" s="387"/>
      <c r="J165" s="387"/>
      <c r="K165" s="387"/>
      <c r="L165" s="387"/>
      <c r="M165" s="387"/>
      <c r="N165" s="387"/>
      <c r="O165" s="387"/>
      <c r="P165" s="387"/>
      <c r="Q165" s="387"/>
      <c r="R165" s="387"/>
      <c r="S165" s="387"/>
      <c r="T165" s="387"/>
      <c r="U165" s="387"/>
      <c r="V165" s="387"/>
      <c r="W165" s="387"/>
      <c r="X165" s="387"/>
      <c r="Y165" s="388"/>
    </row>
    <row r="166" spans="1:25" ht="15.75" thickBot="1" x14ac:dyDescent="0.3">
      <c r="A166" s="4"/>
      <c r="B166" s="4"/>
      <c r="C166" s="4"/>
      <c r="D166" s="4"/>
      <c r="E166" s="4"/>
      <c r="F166" s="389"/>
      <c r="G166" s="390"/>
      <c r="H166" s="390"/>
      <c r="I166" s="390"/>
      <c r="J166" s="390"/>
      <c r="K166" s="390"/>
      <c r="L166" s="390"/>
      <c r="M166" s="390"/>
      <c r="N166" s="390"/>
      <c r="O166" s="390"/>
      <c r="P166" s="390"/>
      <c r="Q166" s="390"/>
      <c r="R166" s="390"/>
      <c r="S166" s="390"/>
      <c r="T166" s="390"/>
      <c r="U166" s="390"/>
      <c r="V166" s="390"/>
      <c r="W166" s="390"/>
      <c r="X166" s="390"/>
      <c r="Y166" s="391"/>
    </row>
    <row r="167" spans="1:25" ht="15.75" thickBot="1" x14ac:dyDescent="0.3"/>
    <row r="168" spans="1:25" x14ac:dyDescent="0.25">
      <c r="A168" s="326" t="s">
        <v>46</v>
      </c>
      <c r="B168" s="326"/>
      <c r="C168" s="326"/>
      <c r="D168" s="326"/>
      <c r="E168" s="326"/>
      <c r="F168" s="326"/>
      <c r="G168" s="326"/>
      <c r="H168" s="326"/>
      <c r="I168" s="383"/>
      <c r="J168" s="384"/>
      <c r="K168" s="384"/>
      <c r="L168" s="384"/>
      <c r="M168" s="384"/>
      <c r="N168" s="384"/>
      <c r="O168" s="384"/>
      <c r="P168" s="384"/>
      <c r="Q168" s="384"/>
      <c r="R168" s="384"/>
      <c r="S168" s="384"/>
      <c r="T168" s="384"/>
      <c r="U168" s="384"/>
      <c r="V168" s="384"/>
      <c r="W168" s="384"/>
      <c r="X168" s="384"/>
      <c r="Y168" s="385"/>
    </row>
    <row r="169" spans="1:25" x14ac:dyDescent="0.25">
      <c r="A169" s="4"/>
      <c r="B169" s="4"/>
      <c r="C169" s="4"/>
      <c r="D169" s="4"/>
      <c r="E169" s="4"/>
      <c r="F169" s="4"/>
      <c r="G169" s="4"/>
      <c r="H169" s="4"/>
      <c r="I169" s="386"/>
      <c r="J169" s="387"/>
      <c r="K169" s="387"/>
      <c r="L169" s="387"/>
      <c r="M169" s="387"/>
      <c r="N169" s="387"/>
      <c r="O169" s="387"/>
      <c r="P169" s="387"/>
      <c r="Q169" s="387"/>
      <c r="R169" s="387"/>
      <c r="S169" s="387"/>
      <c r="T169" s="387"/>
      <c r="U169" s="387"/>
      <c r="V169" s="387"/>
      <c r="W169" s="387"/>
      <c r="X169" s="387"/>
      <c r="Y169" s="388"/>
    </row>
    <row r="170" spans="1:25" ht="15.75" thickBot="1" x14ac:dyDescent="0.3">
      <c r="A170" s="4"/>
      <c r="B170" s="4"/>
      <c r="C170" s="4"/>
      <c r="D170" s="4"/>
      <c r="E170" s="4"/>
      <c r="F170" s="4"/>
      <c r="G170" s="4"/>
      <c r="H170" s="4"/>
      <c r="I170" s="389"/>
      <c r="J170" s="390"/>
      <c r="K170" s="390"/>
      <c r="L170" s="390"/>
      <c r="M170" s="390"/>
      <c r="N170" s="390"/>
      <c r="O170" s="390"/>
      <c r="P170" s="390"/>
      <c r="Q170" s="390"/>
      <c r="R170" s="390"/>
      <c r="S170" s="390"/>
      <c r="T170" s="390"/>
      <c r="U170" s="390"/>
      <c r="V170" s="390"/>
      <c r="W170" s="390"/>
      <c r="X170" s="390"/>
      <c r="Y170" s="391"/>
    </row>
    <row r="171" spans="1:25" ht="15.75" thickBot="1" x14ac:dyDescent="0.3"/>
    <row r="172" spans="1:25" ht="15.75" thickBot="1" x14ac:dyDescent="0.3">
      <c r="A172" s="326" t="s">
        <v>47</v>
      </c>
      <c r="B172" s="326"/>
      <c r="C172" s="326"/>
      <c r="D172" s="326"/>
      <c r="E172" s="326"/>
      <c r="F172" s="302"/>
      <c r="G172" s="303"/>
      <c r="H172" s="303"/>
      <c r="I172" s="303"/>
      <c r="J172" s="303"/>
      <c r="K172" s="303"/>
      <c r="L172" s="303"/>
      <c r="M172" s="303"/>
      <c r="N172" s="303"/>
      <c r="O172" s="303"/>
      <c r="P172" s="303"/>
      <c r="Q172" s="303"/>
      <c r="R172" s="303"/>
      <c r="S172" s="303"/>
      <c r="T172" s="303"/>
      <c r="U172" s="303"/>
      <c r="V172" s="303"/>
      <c r="W172" s="303"/>
      <c r="X172" s="303"/>
      <c r="Y172" s="304"/>
    </row>
    <row r="175" spans="1:25" ht="15.75" thickBot="1" x14ac:dyDescent="0.3"/>
    <row r="176" spans="1:25" ht="16.5" thickBot="1" x14ac:dyDescent="0.3">
      <c r="A176" s="392" t="s">
        <v>44</v>
      </c>
      <c r="B176" s="392"/>
      <c r="C176" s="393"/>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5"/>
    </row>
    <row r="177" spans="1:25" ht="15.75" thickBot="1" x14ac:dyDescent="0.3"/>
    <row r="178" spans="1:25" x14ac:dyDescent="0.25">
      <c r="A178" s="326" t="s">
        <v>45</v>
      </c>
      <c r="B178" s="326"/>
      <c r="C178" s="326"/>
      <c r="D178" s="326"/>
      <c r="E178" s="326"/>
      <c r="F178" s="383"/>
      <c r="G178" s="384"/>
      <c r="H178" s="384"/>
      <c r="I178" s="384"/>
      <c r="J178" s="384"/>
      <c r="K178" s="384"/>
      <c r="L178" s="384"/>
      <c r="M178" s="384"/>
      <c r="N178" s="384"/>
      <c r="O178" s="384"/>
      <c r="P178" s="384"/>
      <c r="Q178" s="384"/>
      <c r="R178" s="384"/>
      <c r="S178" s="384"/>
      <c r="T178" s="384"/>
      <c r="U178" s="384"/>
      <c r="V178" s="384"/>
      <c r="W178" s="384"/>
      <c r="X178" s="384"/>
      <c r="Y178" s="385"/>
    </row>
    <row r="179" spans="1:25" x14ac:dyDescent="0.25">
      <c r="A179" s="4"/>
      <c r="B179" s="4"/>
      <c r="C179" s="4"/>
      <c r="D179" s="4"/>
      <c r="E179" s="4"/>
      <c r="F179" s="386"/>
      <c r="G179" s="387"/>
      <c r="H179" s="387"/>
      <c r="I179" s="387"/>
      <c r="J179" s="387"/>
      <c r="K179" s="387"/>
      <c r="L179" s="387"/>
      <c r="M179" s="387"/>
      <c r="N179" s="387"/>
      <c r="O179" s="387"/>
      <c r="P179" s="387"/>
      <c r="Q179" s="387"/>
      <c r="R179" s="387"/>
      <c r="S179" s="387"/>
      <c r="T179" s="387"/>
      <c r="U179" s="387"/>
      <c r="V179" s="387"/>
      <c r="W179" s="387"/>
      <c r="X179" s="387"/>
      <c r="Y179" s="388"/>
    </row>
    <row r="180" spans="1:25" ht="15.75" thickBot="1" x14ac:dyDescent="0.3">
      <c r="A180" s="4"/>
      <c r="B180" s="4"/>
      <c r="C180" s="4"/>
      <c r="D180" s="4"/>
      <c r="E180" s="4"/>
      <c r="F180" s="389"/>
      <c r="G180" s="390"/>
      <c r="H180" s="390"/>
      <c r="I180" s="390"/>
      <c r="J180" s="390"/>
      <c r="K180" s="390"/>
      <c r="L180" s="390"/>
      <c r="M180" s="390"/>
      <c r="N180" s="390"/>
      <c r="O180" s="390"/>
      <c r="P180" s="390"/>
      <c r="Q180" s="390"/>
      <c r="R180" s="390"/>
      <c r="S180" s="390"/>
      <c r="T180" s="390"/>
      <c r="U180" s="390"/>
      <c r="V180" s="390"/>
      <c r="W180" s="390"/>
      <c r="X180" s="390"/>
      <c r="Y180" s="391"/>
    </row>
    <row r="181" spans="1:25" ht="15.75" thickBot="1" x14ac:dyDescent="0.3"/>
    <row r="182" spans="1:25" x14ac:dyDescent="0.25">
      <c r="A182" s="326" t="s">
        <v>46</v>
      </c>
      <c r="B182" s="326"/>
      <c r="C182" s="326"/>
      <c r="D182" s="326"/>
      <c r="E182" s="326"/>
      <c r="F182" s="326"/>
      <c r="G182" s="326"/>
      <c r="H182" s="326"/>
      <c r="I182" s="383"/>
      <c r="J182" s="384"/>
      <c r="K182" s="384"/>
      <c r="L182" s="384"/>
      <c r="M182" s="384"/>
      <c r="N182" s="384"/>
      <c r="O182" s="384"/>
      <c r="P182" s="384"/>
      <c r="Q182" s="384"/>
      <c r="R182" s="384"/>
      <c r="S182" s="384"/>
      <c r="T182" s="384"/>
      <c r="U182" s="384"/>
      <c r="V182" s="384"/>
      <c r="W182" s="384"/>
      <c r="X182" s="384"/>
      <c r="Y182" s="385"/>
    </row>
    <row r="183" spans="1:25" x14ac:dyDescent="0.25">
      <c r="A183" s="4"/>
      <c r="B183" s="4"/>
      <c r="C183" s="4"/>
      <c r="D183" s="4"/>
      <c r="E183" s="4"/>
      <c r="F183" s="4"/>
      <c r="G183" s="4"/>
      <c r="H183" s="4"/>
      <c r="I183" s="386"/>
      <c r="J183" s="387"/>
      <c r="K183" s="387"/>
      <c r="L183" s="387"/>
      <c r="M183" s="387"/>
      <c r="N183" s="387"/>
      <c r="O183" s="387"/>
      <c r="P183" s="387"/>
      <c r="Q183" s="387"/>
      <c r="R183" s="387"/>
      <c r="S183" s="387"/>
      <c r="T183" s="387"/>
      <c r="U183" s="387"/>
      <c r="V183" s="387"/>
      <c r="W183" s="387"/>
      <c r="X183" s="387"/>
      <c r="Y183" s="388"/>
    </row>
    <row r="184" spans="1:25" ht="15.75" thickBot="1" x14ac:dyDescent="0.3">
      <c r="A184" s="4"/>
      <c r="B184" s="4"/>
      <c r="C184" s="4"/>
      <c r="D184" s="4"/>
      <c r="E184" s="4"/>
      <c r="F184" s="4"/>
      <c r="G184" s="4"/>
      <c r="H184" s="4"/>
      <c r="I184" s="389"/>
      <c r="J184" s="390"/>
      <c r="K184" s="390"/>
      <c r="L184" s="390"/>
      <c r="M184" s="390"/>
      <c r="N184" s="390"/>
      <c r="O184" s="390"/>
      <c r="P184" s="390"/>
      <c r="Q184" s="390"/>
      <c r="R184" s="390"/>
      <c r="S184" s="390"/>
      <c r="T184" s="390"/>
      <c r="U184" s="390"/>
      <c r="V184" s="390"/>
      <c r="W184" s="390"/>
      <c r="X184" s="390"/>
      <c r="Y184" s="391"/>
    </row>
    <row r="185" spans="1:25" ht="15.75" thickBot="1" x14ac:dyDescent="0.3"/>
    <row r="186" spans="1:25" ht="15.75" thickBot="1" x14ac:dyDescent="0.3">
      <c r="A186" s="326" t="s">
        <v>47</v>
      </c>
      <c r="B186" s="326"/>
      <c r="C186" s="326"/>
      <c r="D186" s="326"/>
      <c r="E186" s="326"/>
      <c r="F186" s="302"/>
      <c r="G186" s="303"/>
      <c r="H186" s="303"/>
      <c r="I186" s="303"/>
      <c r="J186" s="303"/>
      <c r="K186" s="303"/>
      <c r="L186" s="303"/>
      <c r="M186" s="303"/>
      <c r="N186" s="303"/>
      <c r="O186" s="303"/>
      <c r="P186" s="303"/>
      <c r="Q186" s="303"/>
      <c r="R186" s="303"/>
      <c r="S186" s="303"/>
      <c r="T186" s="303"/>
      <c r="U186" s="303"/>
      <c r="V186" s="303"/>
      <c r="W186" s="303"/>
      <c r="X186" s="303"/>
      <c r="Y186" s="304"/>
    </row>
    <row r="189" spans="1:25" ht="15.75" thickBot="1" x14ac:dyDescent="0.3"/>
    <row r="190" spans="1:25" ht="16.5" thickBot="1" x14ac:dyDescent="0.3">
      <c r="A190" s="392" t="s">
        <v>44</v>
      </c>
      <c r="B190" s="392"/>
      <c r="C190" s="393"/>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5"/>
    </row>
    <row r="191" spans="1:25" ht="15.75" thickBot="1" x14ac:dyDescent="0.3"/>
    <row r="192" spans="1:25" x14ac:dyDescent="0.25">
      <c r="A192" s="326" t="s">
        <v>45</v>
      </c>
      <c r="B192" s="326"/>
      <c r="C192" s="326"/>
      <c r="D192" s="326"/>
      <c r="E192" s="326"/>
      <c r="F192" s="383"/>
      <c r="G192" s="384"/>
      <c r="H192" s="384"/>
      <c r="I192" s="384"/>
      <c r="J192" s="384"/>
      <c r="K192" s="384"/>
      <c r="L192" s="384"/>
      <c r="M192" s="384"/>
      <c r="N192" s="384"/>
      <c r="O192" s="384"/>
      <c r="P192" s="384"/>
      <c r="Q192" s="384"/>
      <c r="R192" s="384"/>
      <c r="S192" s="384"/>
      <c r="T192" s="384"/>
      <c r="U192" s="384"/>
      <c r="V192" s="384"/>
      <c r="W192" s="384"/>
      <c r="X192" s="384"/>
      <c r="Y192" s="385"/>
    </row>
    <row r="193" spans="1:25" x14ac:dyDescent="0.25">
      <c r="A193" s="4"/>
      <c r="B193" s="4"/>
      <c r="C193" s="4"/>
      <c r="D193" s="4"/>
      <c r="E193" s="4"/>
      <c r="F193" s="386"/>
      <c r="G193" s="387"/>
      <c r="H193" s="387"/>
      <c r="I193" s="387"/>
      <c r="J193" s="387"/>
      <c r="K193" s="387"/>
      <c r="L193" s="387"/>
      <c r="M193" s="387"/>
      <c r="N193" s="387"/>
      <c r="O193" s="387"/>
      <c r="P193" s="387"/>
      <c r="Q193" s="387"/>
      <c r="R193" s="387"/>
      <c r="S193" s="387"/>
      <c r="T193" s="387"/>
      <c r="U193" s="387"/>
      <c r="V193" s="387"/>
      <c r="W193" s="387"/>
      <c r="X193" s="387"/>
      <c r="Y193" s="388"/>
    </row>
    <row r="194" spans="1:25" ht="15.75" thickBot="1" x14ac:dyDescent="0.3">
      <c r="A194" s="4"/>
      <c r="B194" s="4"/>
      <c r="C194" s="4"/>
      <c r="D194" s="4"/>
      <c r="E194" s="4"/>
      <c r="F194" s="389"/>
      <c r="G194" s="390"/>
      <c r="H194" s="390"/>
      <c r="I194" s="390"/>
      <c r="J194" s="390"/>
      <c r="K194" s="390"/>
      <c r="L194" s="390"/>
      <c r="M194" s="390"/>
      <c r="N194" s="390"/>
      <c r="O194" s="390"/>
      <c r="P194" s="390"/>
      <c r="Q194" s="390"/>
      <c r="R194" s="390"/>
      <c r="S194" s="390"/>
      <c r="T194" s="390"/>
      <c r="U194" s="390"/>
      <c r="V194" s="390"/>
      <c r="W194" s="390"/>
      <c r="X194" s="390"/>
      <c r="Y194" s="391"/>
    </row>
    <row r="195" spans="1:25" ht="15.75" thickBot="1" x14ac:dyDescent="0.3"/>
    <row r="196" spans="1:25" x14ac:dyDescent="0.25">
      <c r="A196" s="326" t="s">
        <v>46</v>
      </c>
      <c r="B196" s="326"/>
      <c r="C196" s="326"/>
      <c r="D196" s="326"/>
      <c r="E196" s="326"/>
      <c r="F196" s="326"/>
      <c r="G196" s="326"/>
      <c r="H196" s="326"/>
      <c r="I196" s="383"/>
      <c r="J196" s="384"/>
      <c r="K196" s="384"/>
      <c r="L196" s="384"/>
      <c r="M196" s="384"/>
      <c r="N196" s="384"/>
      <c r="O196" s="384"/>
      <c r="P196" s="384"/>
      <c r="Q196" s="384"/>
      <c r="R196" s="384"/>
      <c r="S196" s="384"/>
      <c r="T196" s="384"/>
      <c r="U196" s="384"/>
      <c r="V196" s="384"/>
      <c r="W196" s="384"/>
      <c r="X196" s="384"/>
      <c r="Y196" s="385"/>
    </row>
    <row r="197" spans="1:25" x14ac:dyDescent="0.25">
      <c r="A197" s="4"/>
      <c r="B197" s="4"/>
      <c r="C197" s="4"/>
      <c r="D197" s="4"/>
      <c r="E197" s="4"/>
      <c r="F197" s="4"/>
      <c r="G197" s="4"/>
      <c r="H197" s="4"/>
      <c r="I197" s="386"/>
      <c r="J197" s="387"/>
      <c r="K197" s="387"/>
      <c r="L197" s="387"/>
      <c r="M197" s="387"/>
      <c r="N197" s="387"/>
      <c r="O197" s="387"/>
      <c r="P197" s="387"/>
      <c r="Q197" s="387"/>
      <c r="R197" s="387"/>
      <c r="S197" s="387"/>
      <c r="T197" s="387"/>
      <c r="U197" s="387"/>
      <c r="V197" s="387"/>
      <c r="W197" s="387"/>
      <c r="X197" s="387"/>
      <c r="Y197" s="388"/>
    </row>
    <row r="198" spans="1:25" ht="15.75" thickBot="1" x14ac:dyDescent="0.3">
      <c r="A198" s="4"/>
      <c r="B198" s="4"/>
      <c r="C198" s="4"/>
      <c r="D198" s="4"/>
      <c r="E198" s="4"/>
      <c r="F198" s="4"/>
      <c r="G198" s="4"/>
      <c r="H198" s="4"/>
      <c r="I198" s="389"/>
      <c r="J198" s="390"/>
      <c r="K198" s="390"/>
      <c r="L198" s="390"/>
      <c r="M198" s="390"/>
      <c r="N198" s="390"/>
      <c r="O198" s="390"/>
      <c r="P198" s="390"/>
      <c r="Q198" s="390"/>
      <c r="R198" s="390"/>
      <c r="S198" s="390"/>
      <c r="T198" s="390"/>
      <c r="U198" s="390"/>
      <c r="V198" s="390"/>
      <c r="W198" s="390"/>
      <c r="X198" s="390"/>
      <c r="Y198" s="391"/>
    </row>
    <row r="199" spans="1:25" ht="15.75" thickBot="1" x14ac:dyDescent="0.3"/>
    <row r="200" spans="1:25" ht="15.75" thickBot="1" x14ac:dyDescent="0.3">
      <c r="A200" s="326" t="s">
        <v>47</v>
      </c>
      <c r="B200" s="326"/>
      <c r="C200" s="326"/>
      <c r="D200" s="326"/>
      <c r="E200" s="326"/>
      <c r="F200" s="302"/>
      <c r="G200" s="303"/>
      <c r="H200" s="303"/>
      <c r="I200" s="303"/>
      <c r="J200" s="303"/>
      <c r="K200" s="303"/>
      <c r="L200" s="303"/>
      <c r="M200" s="303"/>
      <c r="N200" s="303"/>
      <c r="O200" s="303"/>
      <c r="P200" s="303"/>
      <c r="Q200" s="303"/>
      <c r="R200" s="303"/>
      <c r="S200" s="303"/>
      <c r="T200" s="303"/>
      <c r="U200" s="303"/>
      <c r="V200" s="303"/>
      <c r="W200" s="303"/>
      <c r="X200" s="303"/>
      <c r="Y200" s="304"/>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92" t="s">
        <v>44</v>
      </c>
      <c r="B204" s="392"/>
      <c r="C204" s="393"/>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5"/>
    </row>
    <row r="205" spans="1:25" ht="15.75" thickBot="1" x14ac:dyDescent="0.3"/>
    <row r="206" spans="1:25" x14ac:dyDescent="0.25">
      <c r="A206" s="326" t="s">
        <v>45</v>
      </c>
      <c r="B206" s="326"/>
      <c r="C206" s="326"/>
      <c r="D206" s="326"/>
      <c r="E206" s="326"/>
      <c r="F206" s="383"/>
      <c r="G206" s="384"/>
      <c r="H206" s="384"/>
      <c r="I206" s="384"/>
      <c r="J206" s="384"/>
      <c r="K206" s="384"/>
      <c r="L206" s="384"/>
      <c r="M206" s="384"/>
      <c r="N206" s="384"/>
      <c r="O206" s="384"/>
      <c r="P206" s="384"/>
      <c r="Q206" s="384"/>
      <c r="R206" s="384"/>
      <c r="S206" s="384"/>
      <c r="T206" s="384"/>
      <c r="U206" s="384"/>
      <c r="V206" s="384"/>
      <c r="W206" s="384"/>
      <c r="X206" s="384"/>
      <c r="Y206" s="385"/>
    </row>
    <row r="207" spans="1:25" x14ac:dyDescent="0.25">
      <c r="A207" s="4"/>
      <c r="B207" s="4"/>
      <c r="C207" s="4"/>
      <c r="D207" s="4"/>
      <c r="E207" s="4"/>
      <c r="F207" s="386"/>
      <c r="G207" s="387"/>
      <c r="H207" s="387"/>
      <c r="I207" s="387"/>
      <c r="J207" s="387"/>
      <c r="K207" s="387"/>
      <c r="L207" s="387"/>
      <c r="M207" s="387"/>
      <c r="N207" s="387"/>
      <c r="O207" s="387"/>
      <c r="P207" s="387"/>
      <c r="Q207" s="387"/>
      <c r="R207" s="387"/>
      <c r="S207" s="387"/>
      <c r="T207" s="387"/>
      <c r="U207" s="387"/>
      <c r="V207" s="387"/>
      <c r="W207" s="387"/>
      <c r="X207" s="387"/>
      <c r="Y207" s="388"/>
    </row>
    <row r="208" spans="1:25" ht="15.75" thickBot="1" x14ac:dyDescent="0.3">
      <c r="A208" s="4"/>
      <c r="B208" s="4"/>
      <c r="C208" s="4"/>
      <c r="D208" s="4"/>
      <c r="E208" s="4"/>
      <c r="F208" s="389"/>
      <c r="G208" s="390"/>
      <c r="H208" s="390"/>
      <c r="I208" s="390"/>
      <c r="J208" s="390"/>
      <c r="K208" s="390"/>
      <c r="L208" s="390"/>
      <c r="M208" s="390"/>
      <c r="N208" s="390"/>
      <c r="O208" s="390"/>
      <c r="P208" s="390"/>
      <c r="Q208" s="390"/>
      <c r="R208" s="390"/>
      <c r="S208" s="390"/>
      <c r="T208" s="390"/>
      <c r="U208" s="390"/>
      <c r="V208" s="390"/>
      <c r="W208" s="390"/>
      <c r="X208" s="390"/>
      <c r="Y208" s="391"/>
    </row>
    <row r="209" spans="1:25" ht="15.75" thickBot="1" x14ac:dyDescent="0.3"/>
    <row r="210" spans="1:25" x14ac:dyDescent="0.25">
      <c r="A210" s="326" t="s">
        <v>46</v>
      </c>
      <c r="B210" s="326"/>
      <c r="C210" s="326"/>
      <c r="D210" s="326"/>
      <c r="E210" s="326"/>
      <c r="F210" s="326"/>
      <c r="G210" s="326"/>
      <c r="H210" s="326"/>
      <c r="I210" s="383"/>
      <c r="J210" s="384"/>
      <c r="K210" s="384"/>
      <c r="L210" s="384"/>
      <c r="M210" s="384"/>
      <c r="N210" s="384"/>
      <c r="O210" s="384"/>
      <c r="P210" s="384"/>
      <c r="Q210" s="384"/>
      <c r="R210" s="384"/>
      <c r="S210" s="384"/>
      <c r="T210" s="384"/>
      <c r="U210" s="384"/>
      <c r="V210" s="384"/>
      <c r="W210" s="384"/>
      <c r="X210" s="384"/>
      <c r="Y210" s="385"/>
    </row>
    <row r="211" spans="1:25" x14ac:dyDescent="0.25">
      <c r="A211" s="4"/>
      <c r="B211" s="4"/>
      <c r="C211" s="4"/>
      <c r="D211" s="4"/>
      <c r="E211" s="4"/>
      <c r="F211" s="4"/>
      <c r="G211" s="4"/>
      <c r="H211" s="4"/>
      <c r="I211" s="386"/>
      <c r="J211" s="387"/>
      <c r="K211" s="387"/>
      <c r="L211" s="387"/>
      <c r="M211" s="387"/>
      <c r="N211" s="387"/>
      <c r="O211" s="387"/>
      <c r="P211" s="387"/>
      <c r="Q211" s="387"/>
      <c r="R211" s="387"/>
      <c r="S211" s="387"/>
      <c r="T211" s="387"/>
      <c r="U211" s="387"/>
      <c r="V211" s="387"/>
      <c r="W211" s="387"/>
      <c r="X211" s="387"/>
      <c r="Y211" s="388"/>
    </row>
    <row r="212" spans="1:25" ht="15.75" thickBot="1" x14ac:dyDescent="0.3">
      <c r="A212" s="4"/>
      <c r="B212" s="4"/>
      <c r="C212" s="4"/>
      <c r="D212" s="4"/>
      <c r="E212" s="4"/>
      <c r="F212" s="4"/>
      <c r="G212" s="4"/>
      <c r="H212" s="4"/>
      <c r="I212" s="389"/>
      <c r="J212" s="390"/>
      <c r="K212" s="390"/>
      <c r="L212" s="390"/>
      <c r="M212" s="390"/>
      <c r="N212" s="390"/>
      <c r="O212" s="390"/>
      <c r="P212" s="390"/>
      <c r="Q212" s="390"/>
      <c r="R212" s="390"/>
      <c r="S212" s="390"/>
      <c r="T212" s="390"/>
      <c r="U212" s="390"/>
      <c r="V212" s="390"/>
      <c r="W212" s="390"/>
      <c r="X212" s="390"/>
      <c r="Y212" s="391"/>
    </row>
    <row r="213" spans="1:25" ht="15.75" thickBot="1" x14ac:dyDescent="0.3"/>
    <row r="214" spans="1:25" ht="15.75" thickBot="1" x14ac:dyDescent="0.3">
      <c r="A214" s="326" t="s">
        <v>47</v>
      </c>
      <c r="B214" s="326"/>
      <c r="C214" s="326"/>
      <c r="D214" s="326"/>
      <c r="E214" s="326"/>
      <c r="F214" s="302"/>
      <c r="G214" s="303"/>
      <c r="H214" s="303"/>
      <c r="I214" s="303"/>
      <c r="J214" s="303"/>
      <c r="K214" s="303"/>
      <c r="L214" s="303"/>
      <c r="M214" s="303"/>
      <c r="N214" s="303"/>
      <c r="O214" s="303"/>
      <c r="P214" s="303"/>
      <c r="Q214" s="303"/>
      <c r="R214" s="303"/>
      <c r="S214" s="303"/>
      <c r="T214" s="303"/>
      <c r="U214" s="303"/>
      <c r="V214" s="303"/>
      <c r="W214" s="303"/>
      <c r="X214" s="303"/>
      <c r="Y214" s="304"/>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92" t="s">
        <v>44</v>
      </c>
      <c r="B218" s="392"/>
      <c r="C218" s="393"/>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5"/>
    </row>
    <row r="219" spans="1:25" ht="15.75" thickBot="1" x14ac:dyDescent="0.3"/>
    <row r="220" spans="1:25" x14ac:dyDescent="0.25">
      <c r="A220" s="326" t="s">
        <v>45</v>
      </c>
      <c r="B220" s="326"/>
      <c r="C220" s="326"/>
      <c r="D220" s="326"/>
      <c r="E220" s="326"/>
      <c r="F220" s="383"/>
      <c r="G220" s="384"/>
      <c r="H220" s="384"/>
      <c r="I220" s="384"/>
      <c r="J220" s="384"/>
      <c r="K220" s="384"/>
      <c r="L220" s="384"/>
      <c r="M220" s="384"/>
      <c r="N220" s="384"/>
      <c r="O220" s="384"/>
      <c r="P220" s="384"/>
      <c r="Q220" s="384"/>
      <c r="R220" s="384"/>
      <c r="S220" s="384"/>
      <c r="T220" s="384"/>
      <c r="U220" s="384"/>
      <c r="V220" s="384"/>
      <c r="W220" s="384"/>
      <c r="X220" s="384"/>
      <c r="Y220" s="385"/>
    </row>
    <row r="221" spans="1:25" x14ac:dyDescent="0.25">
      <c r="A221" s="4"/>
      <c r="B221" s="4"/>
      <c r="C221" s="4"/>
      <c r="D221" s="4"/>
      <c r="E221" s="4"/>
      <c r="F221" s="386"/>
      <c r="G221" s="387"/>
      <c r="H221" s="387"/>
      <c r="I221" s="387"/>
      <c r="J221" s="387"/>
      <c r="K221" s="387"/>
      <c r="L221" s="387"/>
      <c r="M221" s="387"/>
      <c r="N221" s="387"/>
      <c r="O221" s="387"/>
      <c r="P221" s="387"/>
      <c r="Q221" s="387"/>
      <c r="R221" s="387"/>
      <c r="S221" s="387"/>
      <c r="T221" s="387"/>
      <c r="U221" s="387"/>
      <c r="V221" s="387"/>
      <c r="W221" s="387"/>
      <c r="X221" s="387"/>
      <c r="Y221" s="388"/>
    </row>
    <row r="222" spans="1:25" ht="15.75" thickBot="1" x14ac:dyDescent="0.3">
      <c r="A222" s="4"/>
      <c r="B222" s="4"/>
      <c r="C222" s="4"/>
      <c r="D222" s="4"/>
      <c r="E222" s="4"/>
      <c r="F222" s="389"/>
      <c r="G222" s="390"/>
      <c r="H222" s="390"/>
      <c r="I222" s="390"/>
      <c r="J222" s="390"/>
      <c r="K222" s="390"/>
      <c r="L222" s="390"/>
      <c r="M222" s="390"/>
      <c r="N222" s="390"/>
      <c r="O222" s="390"/>
      <c r="P222" s="390"/>
      <c r="Q222" s="390"/>
      <c r="R222" s="390"/>
      <c r="S222" s="390"/>
      <c r="T222" s="390"/>
      <c r="U222" s="390"/>
      <c r="V222" s="390"/>
      <c r="W222" s="390"/>
      <c r="X222" s="390"/>
      <c r="Y222" s="391"/>
    </row>
    <row r="223" spans="1:25" ht="15.75" thickBot="1" x14ac:dyDescent="0.3"/>
    <row r="224" spans="1:25" x14ac:dyDescent="0.25">
      <c r="A224" s="326" t="s">
        <v>46</v>
      </c>
      <c r="B224" s="326"/>
      <c r="C224" s="326"/>
      <c r="D224" s="326"/>
      <c r="E224" s="326"/>
      <c r="F224" s="326"/>
      <c r="G224" s="326"/>
      <c r="H224" s="326"/>
      <c r="I224" s="383"/>
      <c r="J224" s="384"/>
      <c r="K224" s="384"/>
      <c r="L224" s="384"/>
      <c r="M224" s="384"/>
      <c r="N224" s="384"/>
      <c r="O224" s="384"/>
      <c r="P224" s="384"/>
      <c r="Q224" s="384"/>
      <c r="R224" s="384"/>
      <c r="S224" s="384"/>
      <c r="T224" s="384"/>
      <c r="U224" s="384"/>
      <c r="V224" s="384"/>
      <c r="W224" s="384"/>
      <c r="X224" s="384"/>
      <c r="Y224" s="385"/>
    </row>
    <row r="225" spans="1:25" x14ac:dyDescent="0.25">
      <c r="A225" s="4"/>
      <c r="B225" s="4"/>
      <c r="C225" s="4"/>
      <c r="D225" s="4"/>
      <c r="E225" s="4"/>
      <c r="F225" s="4"/>
      <c r="G225" s="4"/>
      <c r="H225" s="4"/>
      <c r="I225" s="386"/>
      <c r="J225" s="387"/>
      <c r="K225" s="387"/>
      <c r="L225" s="387"/>
      <c r="M225" s="387"/>
      <c r="N225" s="387"/>
      <c r="O225" s="387"/>
      <c r="P225" s="387"/>
      <c r="Q225" s="387"/>
      <c r="R225" s="387"/>
      <c r="S225" s="387"/>
      <c r="T225" s="387"/>
      <c r="U225" s="387"/>
      <c r="V225" s="387"/>
      <c r="W225" s="387"/>
      <c r="X225" s="387"/>
      <c r="Y225" s="388"/>
    </row>
    <row r="226" spans="1:25" ht="15.75" thickBot="1" x14ac:dyDescent="0.3">
      <c r="A226" s="4"/>
      <c r="B226" s="4"/>
      <c r="C226" s="4"/>
      <c r="D226" s="4"/>
      <c r="E226" s="4"/>
      <c r="F226" s="4"/>
      <c r="G226" s="4"/>
      <c r="H226" s="4"/>
      <c r="I226" s="389"/>
      <c r="J226" s="390"/>
      <c r="K226" s="390"/>
      <c r="L226" s="390"/>
      <c r="M226" s="390"/>
      <c r="N226" s="390"/>
      <c r="O226" s="390"/>
      <c r="P226" s="390"/>
      <c r="Q226" s="390"/>
      <c r="R226" s="390"/>
      <c r="S226" s="390"/>
      <c r="T226" s="390"/>
      <c r="U226" s="390"/>
      <c r="V226" s="390"/>
      <c r="W226" s="390"/>
      <c r="X226" s="390"/>
      <c r="Y226" s="391"/>
    </row>
    <row r="227" spans="1:25" ht="15.75" thickBot="1" x14ac:dyDescent="0.3"/>
    <row r="228" spans="1:25" ht="15.75" thickBot="1" x14ac:dyDescent="0.3">
      <c r="A228" s="326" t="s">
        <v>47</v>
      </c>
      <c r="B228" s="326"/>
      <c r="C228" s="326"/>
      <c r="D228" s="326"/>
      <c r="E228" s="326"/>
      <c r="F228" s="302"/>
      <c r="G228" s="303"/>
      <c r="H228" s="303"/>
      <c r="I228" s="303"/>
      <c r="J228" s="303"/>
      <c r="K228" s="303"/>
      <c r="L228" s="303"/>
      <c r="M228" s="303"/>
      <c r="N228" s="303"/>
      <c r="O228" s="303"/>
      <c r="P228" s="303"/>
      <c r="Q228" s="303"/>
      <c r="R228" s="303"/>
      <c r="S228" s="303"/>
      <c r="T228" s="303"/>
      <c r="U228" s="303"/>
      <c r="V228" s="303"/>
      <c r="W228" s="303"/>
      <c r="X228" s="303"/>
      <c r="Y228" s="304"/>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5" x14ac:dyDescent="0.25"/>
  <sheetData>
    <row r="1" spans="1:24" x14ac:dyDescent="0.25">
      <c r="A1" s="399" t="s">
        <v>116</v>
      </c>
      <c r="B1" s="399"/>
      <c r="C1" s="399"/>
      <c r="D1" s="399"/>
      <c r="E1" s="399"/>
      <c r="F1" s="399"/>
      <c r="G1" s="399"/>
      <c r="H1" s="399"/>
    </row>
    <row r="5" spans="1:24" ht="16.5" thickBot="1" x14ac:dyDescent="0.3">
      <c r="A5" s="308" t="s">
        <v>232</v>
      </c>
      <c r="B5" s="308"/>
      <c r="C5" s="308"/>
      <c r="D5" s="308"/>
    </row>
    <row r="6" spans="1:24" x14ac:dyDescent="0.25">
      <c r="A6" s="317"/>
      <c r="B6" s="318"/>
      <c r="C6" s="318"/>
      <c r="D6" s="318"/>
      <c r="E6" s="318"/>
      <c r="F6" s="318"/>
      <c r="G6" s="318"/>
      <c r="H6" s="318"/>
      <c r="I6" s="318"/>
      <c r="J6" s="318"/>
      <c r="K6" s="318"/>
      <c r="L6" s="318"/>
      <c r="M6" s="318"/>
      <c r="N6" s="318"/>
      <c r="O6" s="318"/>
      <c r="P6" s="318"/>
      <c r="Q6" s="318"/>
      <c r="R6" s="318"/>
      <c r="S6" s="318"/>
      <c r="T6" s="318"/>
      <c r="U6" s="318"/>
      <c r="V6" s="318"/>
      <c r="W6" s="318"/>
      <c r="X6" s="319"/>
    </row>
    <row r="7" spans="1:24" x14ac:dyDescent="0.25">
      <c r="A7" s="320"/>
      <c r="B7" s="321"/>
      <c r="C7" s="321"/>
      <c r="D7" s="321"/>
      <c r="E7" s="321"/>
      <c r="F7" s="321"/>
      <c r="G7" s="321"/>
      <c r="H7" s="321"/>
      <c r="I7" s="321"/>
      <c r="J7" s="321"/>
      <c r="K7" s="321"/>
      <c r="L7" s="321"/>
      <c r="M7" s="321"/>
      <c r="N7" s="321"/>
      <c r="O7" s="321"/>
      <c r="P7" s="321"/>
      <c r="Q7" s="321"/>
      <c r="R7" s="321"/>
      <c r="S7" s="321"/>
      <c r="T7" s="321"/>
      <c r="U7" s="321"/>
      <c r="V7" s="321"/>
      <c r="W7" s="321"/>
      <c r="X7" s="322"/>
    </row>
    <row r="8" spans="1:24" x14ac:dyDescent="0.25">
      <c r="A8" s="320"/>
      <c r="B8" s="321"/>
      <c r="C8" s="321"/>
      <c r="D8" s="321"/>
      <c r="E8" s="321"/>
      <c r="F8" s="321"/>
      <c r="G8" s="321"/>
      <c r="H8" s="321"/>
      <c r="I8" s="321"/>
      <c r="J8" s="321"/>
      <c r="K8" s="321"/>
      <c r="L8" s="321"/>
      <c r="M8" s="321"/>
      <c r="N8" s="321"/>
      <c r="O8" s="321"/>
      <c r="P8" s="321"/>
      <c r="Q8" s="321"/>
      <c r="R8" s="321"/>
      <c r="S8" s="321"/>
      <c r="T8" s="321"/>
      <c r="U8" s="321"/>
      <c r="V8" s="321"/>
      <c r="W8" s="321"/>
      <c r="X8" s="322"/>
    </row>
    <row r="9" spans="1:24" x14ac:dyDescent="0.25">
      <c r="A9" s="320"/>
      <c r="B9" s="321"/>
      <c r="C9" s="321"/>
      <c r="D9" s="321"/>
      <c r="E9" s="321"/>
      <c r="F9" s="321"/>
      <c r="G9" s="321"/>
      <c r="H9" s="321"/>
      <c r="I9" s="321"/>
      <c r="J9" s="321"/>
      <c r="K9" s="321"/>
      <c r="L9" s="321"/>
      <c r="M9" s="321"/>
      <c r="N9" s="321"/>
      <c r="O9" s="321"/>
      <c r="P9" s="321"/>
      <c r="Q9" s="321"/>
      <c r="R9" s="321"/>
      <c r="S9" s="321"/>
      <c r="T9" s="321"/>
      <c r="U9" s="321"/>
      <c r="V9" s="321"/>
      <c r="W9" s="321"/>
      <c r="X9" s="322"/>
    </row>
    <row r="10" spans="1:24" x14ac:dyDescent="0.25">
      <c r="A10" s="320"/>
      <c r="B10" s="321"/>
      <c r="C10" s="321"/>
      <c r="D10" s="321"/>
      <c r="E10" s="321"/>
      <c r="F10" s="321"/>
      <c r="G10" s="321"/>
      <c r="H10" s="321"/>
      <c r="I10" s="321"/>
      <c r="J10" s="321"/>
      <c r="K10" s="321"/>
      <c r="L10" s="321"/>
      <c r="M10" s="321"/>
      <c r="N10" s="321"/>
      <c r="O10" s="321"/>
      <c r="P10" s="321"/>
      <c r="Q10" s="321"/>
      <c r="R10" s="321"/>
      <c r="S10" s="321"/>
      <c r="T10" s="321"/>
      <c r="U10" s="321"/>
      <c r="V10" s="321"/>
      <c r="W10" s="321"/>
      <c r="X10" s="322"/>
    </row>
    <row r="11" spans="1:24" x14ac:dyDescent="0.25">
      <c r="A11" s="320"/>
      <c r="B11" s="321"/>
      <c r="C11" s="321"/>
      <c r="D11" s="321"/>
      <c r="E11" s="321"/>
      <c r="F11" s="321"/>
      <c r="G11" s="321"/>
      <c r="H11" s="321"/>
      <c r="I11" s="321"/>
      <c r="J11" s="321"/>
      <c r="K11" s="321"/>
      <c r="L11" s="321"/>
      <c r="M11" s="321"/>
      <c r="N11" s="321"/>
      <c r="O11" s="321"/>
      <c r="P11" s="321"/>
      <c r="Q11" s="321"/>
      <c r="R11" s="321"/>
      <c r="S11" s="321"/>
      <c r="T11" s="321"/>
      <c r="U11" s="321"/>
      <c r="V11" s="321"/>
      <c r="W11" s="321"/>
      <c r="X11" s="322"/>
    </row>
    <row r="12" spans="1:24" ht="15.75" thickBot="1" x14ac:dyDescent="0.3">
      <c r="A12" s="323"/>
      <c r="B12" s="324"/>
      <c r="C12" s="324"/>
      <c r="D12" s="324"/>
      <c r="E12" s="324"/>
      <c r="F12" s="324"/>
      <c r="G12" s="324"/>
      <c r="H12" s="324"/>
      <c r="I12" s="324"/>
      <c r="J12" s="324"/>
      <c r="K12" s="324"/>
      <c r="L12" s="324"/>
      <c r="M12" s="324"/>
      <c r="N12" s="324"/>
      <c r="O12" s="324"/>
      <c r="P12" s="324"/>
      <c r="Q12" s="324"/>
      <c r="R12" s="324"/>
      <c r="S12" s="324"/>
      <c r="T12" s="324"/>
      <c r="U12" s="324"/>
      <c r="V12" s="324"/>
      <c r="W12" s="324"/>
      <c r="X12" s="325"/>
    </row>
    <row r="15" spans="1:24" ht="16.5" thickBot="1" x14ac:dyDescent="0.3">
      <c r="A15" s="398" t="s">
        <v>117</v>
      </c>
      <c r="B15" s="398"/>
      <c r="C15" s="398"/>
      <c r="D15" s="398"/>
      <c r="E15" s="398"/>
      <c r="F15" s="398"/>
    </row>
    <row r="16" spans="1:24" x14ac:dyDescent="0.25">
      <c r="A16" s="317"/>
      <c r="B16" s="318"/>
      <c r="C16" s="318"/>
      <c r="D16" s="318"/>
      <c r="E16" s="318"/>
      <c r="F16" s="318"/>
      <c r="G16" s="318"/>
      <c r="H16" s="318"/>
      <c r="I16" s="318"/>
      <c r="J16" s="318"/>
      <c r="K16" s="318"/>
      <c r="L16" s="318"/>
      <c r="M16" s="318"/>
      <c r="N16" s="318"/>
      <c r="O16" s="318"/>
      <c r="P16" s="318"/>
      <c r="Q16" s="318"/>
      <c r="R16" s="318"/>
      <c r="S16" s="318"/>
      <c r="T16" s="318"/>
      <c r="U16" s="318"/>
      <c r="V16" s="318"/>
      <c r="W16" s="318"/>
      <c r="X16" s="319"/>
    </row>
    <row r="17" spans="1:24" x14ac:dyDescent="0.25">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2"/>
    </row>
    <row r="18" spans="1:24" x14ac:dyDescent="0.25">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2"/>
    </row>
    <row r="19" spans="1:24" x14ac:dyDescent="0.25">
      <c r="A19" s="320"/>
      <c r="B19" s="321"/>
      <c r="C19" s="321"/>
      <c r="D19" s="321"/>
      <c r="E19" s="321"/>
      <c r="F19" s="321"/>
      <c r="G19" s="321"/>
      <c r="H19" s="321"/>
      <c r="I19" s="321"/>
      <c r="J19" s="321"/>
      <c r="K19" s="321"/>
      <c r="L19" s="321"/>
      <c r="M19" s="321"/>
      <c r="N19" s="321"/>
      <c r="O19" s="321"/>
      <c r="P19" s="321"/>
      <c r="Q19" s="321"/>
      <c r="R19" s="321"/>
      <c r="S19" s="321"/>
      <c r="T19" s="321"/>
      <c r="U19" s="321"/>
      <c r="V19" s="321"/>
      <c r="W19" s="321"/>
      <c r="X19" s="322"/>
    </row>
    <row r="20" spans="1:24" x14ac:dyDescent="0.25">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2"/>
    </row>
    <row r="21" spans="1:24" x14ac:dyDescent="0.25">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2"/>
    </row>
    <row r="22" spans="1:24" ht="15.75" thickBot="1" x14ac:dyDescent="0.3">
      <c r="A22" s="323"/>
      <c r="B22" s="324"/>
      <c r="C22" s="324"/>
      <c r="D22" s="324"/>
      <c r="E22" s="324"/>
      <c r="F22" s="324"/>
      <c r="G22" s="324"/>
      <c r="H22" s="324"/>
      <c r="I22" s="324"/>
      <c r="J22" s="324"/>
      <c r="K22" s="324"/>
      <c r="L22" s="324"/>
      <c r="M22" s="324"/>
      <c r="N22" s="324"/>
      <c r="O22" s="324"/>
      <c r="P22" s="324"/>
      <c r="Q22" s="324"/>
      <c r="R22" s="324"/>
      <c r="S22" s="324"/>
      <c r="T22" s="324"/>
      <c r="U22" s="324"/>
      <c r="V22" s="324"/>
      <c r="W22" s="324"/>
      <c r="X22" s="325"/>
    </row>
    <row r="25" spans="1:24" ht="16.5" thickBot="1" x14ac:dyDescent="0.3">
      <c r="A25" s="308" t="s">
        <v>118</v>
      </c>
      <c r="B25" s="308"/>
      <c r="C25" s="308"/>
      <c r="D25" s="308"/>
    </row>
    <row r="26" spans="1:24" x14ac:dyDescent="0.25">
      <c r="A26" s="317"/>
      <c r="B26" s="318"/>
      <c r="C26" s="318"/>
      <c r="D26" s="318"/>
      <c r="E26" s="318"/>
      <c r="F26" s="318"/>
      <c r="G26" s="318"/>
      <c r="H26" s="318"/>
      <c r="I26" s="318"/>
      <c r="J26" s="318"/>
      <c r="K26" s="318"/>
      <c r="L26" s="318"/>
      <c r="M26" s="318"/>
      <c r="N26" s="318"/>
      <c r="O26" s="318"/>
      <c r="P26" s="318"/>
      <c r="Q26" s="318"/>
      <c r="R26" s="318"/>
      <c r="S26" s="318"/>
      <c r="T26" s="318"/>
      <c r="U26" s="318"/>
      <c r="V26" s="318"/>
      <c r="W26" s="318"/>
      <c r="X26" s="319"/>
    </row>
    <row r="27" spans="1:24" x14ac:dyDescent="0.25">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2"/>
    </row>
    <row r="28" spans="1:24" x14ac:dyDescent="0.25">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2"/>
    </row>
    <row r="29" spans="1:24" x14ac:dyDescent="0.25">
      <c r="A29" s="320"/>
      <c r="B29" s="321"/>
      <c r="C29" s="321"/>
      <c r="D29" s="321"/>
      <c r="E29" s="321"/>
      <c r="F29" s="321"/>
      <c r="G29" s="321"/>
      <c r="H29" s="321"/>
      <c r="I29" s="321"/>
      <c r="J29" s="321"/>
      <c r="K29" s="321"/>
      <c r="L29" s="321"/>
      <c r="M29" s="321"/>
      <c r="N29" s="321"/>
      <c r="O29" s="321"/>
      <c r="P29" s="321"/>
      <c r="Q29" s="321"/>
      <c r="R29" s="321"/>
      <c r="S29" s="321"/>
      <c r="T29" s="321"/>
      <c r="U29" s="321"/>
      <c r="V29" s="321"/>
      <c r="W29" s="321"/>
      <c r="X29" s="322"/>
    </row>
    <row r="30" spans="1:24" x14ac:dyDescent="0.25">
      <c r="A30" s="320"/>
      <c r="B30" s="321"/>
      <c r="C30" s="321"/>
      <c r="D30" s="321"/>
      <c r="E30" s="321"/>
      <c r="F30" s="321"/>
      <c r="G30" s="321"/>
      <c r="H30" s="321"/>
      <c r="I30" s="321"/>
      <c r="J30" s="321"/>
      <c r="K30" s="321"/>
      <c r="L30" s="321"/>
      <c r="M30" s="321"/>
      <c r="N30" s="321"/>
      <c r="O30" s="321"/>
      <c r="P30" s="321"/>
      <c r="Q30" s="321"/>
      <c r="R30" s="321"/>
      <c r="S30" s="321"/>
      <c r="T30" s="321"/>
      <c r="U30" s="321"/>
      <c r="V30" s="321"/>
      <c r="W30" s="321"/>
      <c r="X30" s="322"/>
    </row>
    <row r="31" spans="1:24" x14ac:dyDescent="0.25">
      <c r="A31" s="320"/>
      <c r="B31" s="321"/>
      <c r="C31" s="321"/>
      <c r="D31" s="321"/>
      <c r="E31" s="321"/>
      <c r="F31" s="321"/>
      <c r="G31" s="321"/>
      <c r="H31" s="321"/>
      <c r="I31" s="321"/>
      <c r="J31" s="321"/>
      <c r="K31" s="321"/>
      <c r="L31" s="321"/>
      <c r="M31" s="321"/>
      <c r="N31" s="321"/>
      <c r="O31" s="321"/>
      <c r="P31" s="321"/>
      <c r="Q31" s="321"/>
      <c r="R31" s="321"/>
      <c r="S31" s="321"/>
      <c r="T31" s="321"/>
      <c r="U31" s="321"/>
      <c r="V31" s="321"/>
      <c r="W31" s="321"/>
      <c r="X31" s="322"/>
    </row>
    <row r="32" spans="1:24" ht="15.75" thickBot="1" x14ac:dyDescent="0.3">
      <c r="A32" s="323"/>
      <c r="B32" s="324"/>
      <c r="C32" s="324"/>
      <c r="D32" s="324"/>
      <c r="E32" s="324"/>
      <c r="F32" s="324"/>
      <c r="G32" s="324"/>
      <c r="H32" s="324"/>
      <c r="I32" s="324"/>
      <c r="J32" s="324"/>
      <c r="K32" s="324"/>
      <c r="L32" s="324"/>
      <c r="M32" s="324"/>
      <c r="N32" s="324"/>
      <c r="O32" s="324"/>
      <c r="P32" s="324"/>
      <c r="Q32" s="324"/>
      <c r="R32" s="324"/>
      <c r="S32" s="324"/>
      <c r="T32" s="324"/>
      <c r="U32" s="324"/>
      <c r="V32" s="324"/>
      <c r="W32" s="324"/>
      <c r="X32" s="325"/>
    </row>
    <row r="35" spans="1:24" ht="16.5" thickBot="1" x14ac:dyDescent="0.3">
      <c r="A35" s="398" t="s">
        <v>119</v>
      </c>
      <c r="B35" s="398"/>
      <c r="C35" s="398"/>
      <c r="D35" s="398"/>
      <c r="E35" s="398"/>
      <c r="F35" s="398"/>
    </row>
    <row r="36" spans="1:24" x14ac:dyDescent="0.25">
      <c r="A36" s="317"/>
      <c r="B36" s="318"/>
      <c r="C36" s="318"/>
      <c r="D36" s="318"/>
      <c r="E36" s="318"/>
      <c r="F36" s="318"/>
      <c r="G36" s="318"/>
      <c r="H36" s="318"/>
      <c r="I36" s="318"/>
      <c r="J36" s="318"/>
      <c r="K36" s="318"/>
      <c r="L36" s="318"/>
      <c r="M36" s="318"/>
      <c r="N36" s="318"/>
      <c r="O36" s="318"/>
      <c r="P36" s="318"/>
      <c r="Q36" s="318"/>
      <c r="R36" s="318"/>
      <c r="S36" s="318"/>
      <c r="T36" s="318"/>
      <c r="U36" s="318"/>
      <c r="V36" s="318"/>
      <c r="W36" s="318"/>
      <c r="X36" s="319"/>
    </row>
    <row r="37" spans="1:24" x14ac:dyDescent="0.25">
      <c r="A37" s="320"/>
      <c r="B37" s="321"/>
      <c r="C37" s="321"/>
      <c r="D37" s="321"/>
      <c r="E37" s="321"/>
      <c r="F37" s="321"/>
      <c r="G37" s="321"/>
      <c r="H37" s="321"/>
      <c r="I37" s="321"/>
      <c r="J37" s="321"/>
      <c r="K37" s="321"/>
      <c r="L37" s="321"/>
      <c r="M37" s="321"/>
      <c r="N37" s="321"/>
      <c r="O37" s="321"/>
      <c r="P37" s="321"/>
      <c r="Q37" s="321"/>
      <c r="R37" s="321"/>
      <c r="S37" s="321"/>
      <c r="T37" s="321"/>
      <c r="U37" s="321"/>
      <c r="V37" s="321"/>
      <c r="W37" s="321"/>
      <c r="X37" s="322"/>
    </row>
    <row r="38" spans="1:24" x14ac:dyDescent="0.25">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2"/>
    </row>
    <row r="39" spans="1:24" x14ac:dyDescent="0.25">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2"/>
    </row>
    <row r="40" spans="1:24" x14ac:dyDescent="0.25">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2"/>
    </row>
    <row r="41" spans="1:24" x14ac:dyDescent="0.25">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2"/>
    </row>
    <row r="42" spans="1:24" ht="15.75" thickBot="1" x14ac:dyDescent="0.3">
      <c r="A42" s="323"/>
      <c r="B42" s="324"/>
      <c r="C42" s="324"/>
      <c r="D42" s="324"/>
      <c r="E42" s="324"/>
      <c r="F42" s="324"/>
      <c r="G42" s="324"/>
      <c r="H42" s="324"/>
      <c r="I42" s="324"/>
      <c r="J42" s="324"/>
      <c r="K42" s="324"/>
      <c r="L42" s="324"/>
      <c r="M42" s="324"/>
      <c r="N42" s="324"/>
      <c r="O42" s="324"/>
      <c r="P42" s="324"/>
      <c r="Q42" s="324"/>
      <c r="R42" s="324"/>
      <c r="S42" s="324"/>
      <c r="T42" s="324"/>
      <c r="U42" s="324"/>
      <c r="V42" s="324"/>
      <c r="W42" s="324"/>
      <c r="X42" s="325"/>
    </row>
    <row r="45" spans="1:24" ht="16.5" thickBot="1" x14ac:dyDescent="0.3">
      <c r="A45" s="398" t="s">
        <v>120</v>
      </c>
      <c r="B45" s="398"/>
      <c r="C45" s="398"/>
      <c r="D45" s="398"/>
      <c r="E45" s="398"/>
      <c r="F45" s="398"/>
      <c r="G45" s="398"/>
      <c r="H45" s="398"/>
    </row>
    <row r="46" spans="1:24" x14ac:dyDescent="0.2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9"/>
    </row>
    <row r="47" spans="1:24" x14ac:dyDescent="0.25">
      <c r="A47" s="320"/>
      <c r="B47" s="321"/>
      <c r="C47" s="321"/>
      <c r="D47" s="321"/>
      <c r="E47" s="321"/>
      <c r="F47" s="321"/>
      <c r="G47" s="321"/>
      <c r="H47" s="321"/>
      <c r="I47" s="321"/>
      <c r="J47" s="321"/>
      <c r="K47" s="321"/>
      <c r="L47" s="321"/>
      <c r="M47" s="321"/>
      <c r="N47" s="321"/>
      <c r="O47" s="321"/>
      <c r="P47" s="321"/>
      <c r="Q47" s="321"/>
      <c r="R47" s="321"/>
      <c r="S47" s="321"/>
      <c r="T47" s="321"/>
      <c r="U47" s="321"/>
      <c r="V47" s="321"/>
      <c r="W47" s="321"/>
      <c r="X47" s="322"/>
    </row>
    <row r="48" spans="1:24" x14ac:dyDescent="0.25">
      <c r="A48" s="320"/>
      <c r="B48" s="321"/>
      <c r="C48" s="321"/>
      <c r="D48" s="321"/>
      <c r="E48" s="321"/>
      <c r="F48" s="321"/>
      <c r="G48" s="321"/>
      <c r="H48" s="321"/>
      <c r="I48" s="321"/>
      <c r="J48" s="321"/>
      <c r="K48" s="321"/>
      <c r="L48" s="321"/>
      <c r="M48" s="321"/>
      <c r="N48" s="321"/>
      <c r="O48" s="321"/>
      <c r="P48" s="321"/>
      <c r="Q48" s="321"/>
      <c r="R48" s="321"/>
      <c r="S48" s="321"/>
      <c r="T48" s="321"/>
      <c r="U48" s="321"/>
      <c r="V48" s="321"/>
      <c r="W48" s="321"/>
      <c r="X48" s="322"/>
    </row>
    <row r="49" spans="1:24" x14ac:dyDescent="0.25">
      <c r="A49" s="320"/>
      <c r="B49" s="321"/>
      <c r="C49" s="321"/>
      <c r="D49" s="321"/>
      <c r="E49" s="321"/>
      <c r="F49" s="321"/>
      <c r="G49" s="321"/>
      <c r="H49" s="321"/>
      <c r="I49" s="321"/>
      <c r="J49" s="321"/>
      <c r="K49" s="321"/>
      <c r="L49" s="321"/>
      <c r="M49" s="321"/>
      <c r="N49" s="321"/>
      <c r="O49" s="321"/>
      <c r="P49" s="321"/>
      <c r="Q49" s="321"/>
      <c r="R49" s="321"/>
      <c r="S49" s="321"/>
      <c r="T49" s="321"/>
      <c r="U49" s="321"/>
      <c r="V49" s="321"/>
      <c r="W49" s="321"/>
      <c r="X49" s="322"/>
    </row>
    <row r="50" spans="1:24" x14ac:dyDescent="0.25">
      <c r="A50" s="320"/>
      <c r="B50" s="321"/>
      <c r="C50" s="321"/>
      <c r="D50" s="321"/>
      <c r="E50" s="321"/>
      <c r="F50" s="321"/>
      <c r="G50" s="321"/>
      <c r="H50" s="321"/>
      <c r="I50" s="321"/>
      <c r="J50" s="321"/>
      <c r="K50" s="321"/>
      <c r="L50" s="321"/>
      <c r="M50" s="321"/>
      <c r="N50" s="321"/>
      <c r="O50" s="321"/>
      <c r="P50" s="321"/>
      <c r="Q50" s="321"/>
      <c r="R50" s="321"/>
      <c r="S50" s="321"/>
      <c r="T50" s="321"/>
      <c r="U50" s="321"/>
      <c r="V50" s="321"/>
      <c r="W50" s="321"/>
      <c r="X50" s="322"/>
    </row>
    <row r="51" spans="1:24" x14ac:dyDescent="0.25">
      <c r="A51" s="320"/>
      <c r="B51" s="321"/>
      <c r="C51" s="321"/>
      <c r="D51" s="321"/>
      <c r="E51" s="321"/>
      <c r="F51" s="321"/>
      <c r="G51" s="321"/>
      <c r="H51" s="321"/>
      <c r="I51" s="321"/>
      <c r="J51" s="321"/>
      <c r="K51" s="321"/>
      <c r="L51" s="321"/>
      <c r="M51" s="321"/>
      <c r="N51" s="321"/>
      <c r="O51" s="321"/>
      <c r="P51" s="321"/>
      <c r="Q51" s="321"/>
      <c r="R51" s="321"/>
      <c r="S51" s="321"/>
      <c r="T51" s="321"/>
      <c r="U51" s="321"/>
      <c r="V51" s="321"/>
      <c r="W51" s="321"/>
      <c r="X51" s="322"/>
    </row>
    <row r="52" spans="1:24" ht="15.75" thickBot="1" x14ac:dyDescent="0.3">
      <c r="A52" s="323"/>
      <c r="B52" s="324"/>
      <c r="C52" s="324"/>
      <c r="D52" s="324"/>
      <c r="E52" s="324"/>
      <c r="F52" s="324"/>
      <c r="G52" s="324"/>
      <c r="H52" s="324"/>
      <c r="I52" s="324"/>
      <c r="J52" s="324"/>
      <c r="K52" s="324"/>
      <c r="L52" s="324"/>
      <c r="M52" s="324"/>
      <c r="N52" s="324"/>
      <c r="O52" s="324"/>
      <c r="P52" s="324"/>
      <c r="Q52" s="324"/>
      <c r="R52" s="324"/>
      <c r="S52" s="324"/>
      <c r="T52" s="324"/>
      <c r="U52" s="324"/>
      <c r="V52" s="324"/>
      <c r="W52" s="324"/>
      <c r="X52" s="325"/>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75" customHeight="1" x14ac:dyDescent="0.25">
      <c r="A2" s="400" t="s">
        <v>207</v>
      </c>
      <c r="B2" s="400"/>
      <c r="C2" s="400"/>
      <c r="D2" s="400"/>
      <c r="E2" s="400"/>
      <c r="F2" s="400"/>
      <c r="G2" s="400"/>
      <c r="H2" s="400"/>
      <c r="I2" s="400"/>
      <c r="J2" s="400"/>
      <c r="K2" s="400"/>
      <c r="L2" s="400"/>
      <c r="M2" s="400"/>
      <c r="N2" s="400"/>
      <c r="O2" s="400"/>
      <c r="P2" s="400"/>
      <c r="Q2" s="400"/>
      <c r="R2" s="400"/>
      <c r="S2" s="400"/>
      <c r="T2" s="400"/>
      <c r="U2" s="400"/>
      <c r="V2" s="400"/>
      <c r="W2" s="400"/>
      <c r="X2" s="400"/>
      <c r="Y2" s="400"/>
    </row>
    <row r="3" spans="1:25" ht="15" customHeight="1" x14ac:dyDescent="0.25">
      <c r="A3" s="400"/>
      <c r="B3" s="400"/>
      <c r="C3" s="400"/>
      <c r="D3" s="400"/>
      <c r="E3" s="400"/>
      <c r="F3" s="400"/>
      <c r="G3" s="400"/>
      <c r="H3" s="400"/>
      <c r="I3" s="400"/>
      <c r="J3" s="400"/>
      <c r="K3" s="400"/>
      <c r="L3" s="400"/>
      <c r="M3" s="400"/>
      <c r="N3" s="400"/>
      <c r="O3" s="400"/>
      <c r="P3" s="400"/>
      <c r="Q3" s="400"/>
      <c r="R3" s="400"/>
      <c r="S3" s="400"/>
      <c r="T3" s="400"/>
      <c r="U3" s="400"/>
      <c r="V3" s="400"/>
      <c r="W3" s="400"/>
      <c r="X3" s="400"/>
      <c r="Y3" s="400"/>
    </row>
    <row r="4" spans="1:25" ht="15" customHeight="1" x14ac:dyDescent="0.25">
      <c r="A4" s="400"/>
      <c r="B4" s="400"/>
      <c r="C4" s="400"/>
      <c r="D4" s="400"/>
      <c r="E4" s="400"/>
      <c r="F4" s="400"/>
      <c r="G4" s="400"/>
      <c r="H4" s="400"/>
      <c r="I4" s="400"/>
      <c r="J4" s="400"/>
      <c r="K4" s="400"/>
      <c r="L4" s="400"/>
      <c r="M4" s="400"/>
      <c r="N4" s="400"/>
      <c r="O4" s="400"/>
      <c r="P4" s="400"/>
      <c r="Q4" s="400"/>
      <c r="R4" s="400"/>
      <c r="S4" s="400"/>
      <c r="T4" s="400"/>
      <c r="U4" s="400"/>
      <c r="V4" s="400"/>
      <c r="W4" s="400"/>
      <c r="X4" s="400"/>
      <c r="Y4" s="400"/>
    </row>
    <row r="5" spans="1:25" ht="15" customHeight="1" x14ac:dyDescent="0.25">
      <c r="A5" s="400"/>
      <c r="B5" s="400"/>
      <c r="C5" s="400"/>
      <c r="D5" s="400"/>
      <c r="E5" s="400"/>
      <c r="F5" s="400"/>
      <c r="G5" s="400"/>
      <c r="H5" s="400"/>
      <c r="I5" s="400"/>
      <c r="J5" s="400"/>
      <c r="K5" s="400"/>
      <c r="L5" s="400"/>
      <c r="M5" s="400"/>
      <c r="N5" s="400"/>
      <c r="O5" s="400"/>
      <c r="P5" s="400"/>
      <c r="Q5" s="400"/>
      <c r="R5" s="400"/>
      <c r="S5" s="400"/>
      <c r="T5" s="400"/>
      <c r="U5" s="400"/>
      <c r="V5" s="400"/>
      <c r="W5" s="400"/>
      <c r="X5" s="400"/>
      <c r="Y5" s="400"/>
    </row>
    <row r="6" spans="1:25" ht="15" customHeight="1" x14ac:dyDescent="0.25">
      <c r="A6" s="400"/>
      <c r="B6" s="400"/>
      <c r="C6" s="400"/>
      <c r="D6" s="400"/>
      <c r="E6" s="400"/>
      <c r="F6" s="400"/>
      <c r="G6" s="400"/>
      <c r="H6" s="400"/>
      <c r="I6" s="400"/>
      <c r="J6" s="400"/>
      <c r="K6" s="400"/>
      <c r="L6" s="400"/>
      <c r="M6" s="400"/>
      <c r="N6" s="400"/>
      <c r="O6" s="400"/>
      <c r="P6" s="400"/>
      <c r="Q6" s="400"/>
      <c r="R6" s="400"/>
      <c r="S6" s="400"/>
      <c r="T6" s="400"/>
      <c r="U6" s="400"/>
      <c r="V6" s="400"/>
      <c r="W6" s="400"/>
      <c r="X6" s="400"/>
      <c r="Y6" s="400"/>
    </row>
    <row r="7" spans="1:25" ht="15" customHeight="1" x14ac:dyDescent="0.25">
      <c r="A7" s="400"/>
      <c r="B7" s="400"/>
      <c r="C7" s="400"/>
      <c r="D7" s="400"/>
      <c r="E7" s="400"/>
      <c r="F7" s="400"/>
      <c r="G7" s="400"/>
      <c r="H7" s="400"/>
      <c r="I7" s="400"/>
      <c r="J7" s="400"/>
      <c r="K7" s="400"/>
      <c r="L7" s="400"/>
      <c r="M7" s="400"/>
      <c r="N7" s="400"/>
      <c r="O7" s="400"/>
      <c r="P7" s="400"/>
      <c r="Q7" s="400"/>
      <c r="R7" s="400"/>
      <c r="S7" s="400"/>
      <c r="T7" s="400"/>
      <c r="U7" s="400"/>
      <c r="V7" s="400"/>
      <c r="W7" s="400"/>
      <c r="X7" s="400"/>
      <c r="Y7" s="400"/>
    </row>
    <row r="8" spans="1:25" ht="15" customHeight="1" x14ac:dyDescent="0.25">
      <c r="A8" s="400"/>
      <c r="B8" s="400"/>
      <c r="C8" s="400"/>
      <c r="D8" s="400"/>
      <c r="E8" s="400"/>
      <c r="F8" s="400"/>
      <c r="G8" s="400"/>
      <c r="H8" s="400"/>
      <c r="I8" s="400"/>
      <c r="J8" s="400"/>
      <c r="K8" s="400"/>
      <c r="L8" s="400"/>
      <c r="M8" s="400"/>
      <c r="N8" s="400"/>
      <c r="O8" s="400"/>
      <c r="P8" s="400"/>
      <c r="Q8" s="400"/>
      <c r="R8" s="400"/>
      <c r="S8" s="400"/>
      <c r="T8" s="400"/>
      <c r="U8" s="400"/>
      <c r="V8" s="400"/>
      <c r="W8" s="400"/>
      <c r="X8" s="400"/>
      <c r="Y8" s="400"/>
    </row>
    <row r="9" spans="1:25" ht="15" customHeight="1" x14ac:dyDescent="0.25">
      <c r="A9" s="400"/>
      <c r="B9" s="400"/>
      <c r="C9" s="400"/>
      <c r="D9" s="400"/>
      <c r="E9" s="400"/>
      <c r="F9" s="400"/>
      <c r="G9" s="400"/>
      <c r="H9" s="400"/>
      <c r="I9" s="400"/>
      <c r="J9" s="400"/>
      <c r="K9" s="400"/>
      <c r="L9" s="400"/>
      <c r="M9" s="400"/>
      <c r="N9" s="400"/>
      <c r="O9" s="400"/>
      <c r="P9" s="400"/>
      <c r="Q9" s="400"/>
      <c r="R9" s="400"/>
      <c r="S9" s="400"/>
      <c r="T9" s="400"/>
      <c r="U9" s="400"/>
      <c r="V9" s="400"/>
      <c r="W9" s="400"/>
      <c r="X9" s="400"/>
      <c r="Y9" s="400"/>
    </row>
    <row r="10" spans="1:25" ht="15" customHeight="1" x14ac:dyDescent="0.2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row>
    <row r="11" spans="1:25" ht="15" customHeight="1" x14ac:dyDescent="0.2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row>
    <row r="12" spans="1:25" ht="15" customHeight="1" x14ac:dyDescent="0.2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row>
    <row r="13" spans="1:25" ht="15" customHeight="1" x14ac:dyDescent="0.2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row>
    <row r="14" spans="1:25" ht="15" customHeight="1" x14ac:dyDescent="0.2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row>
    <row r="15" spans="1:25" ht="15" customHeight="1" x14ac:dyDescent="0.25">
      <c r="A15" s="400"/>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row>
    <row r="16" spans="1:25" ht="15" customHeight="1" x14ac:dyDescent="0.25">
      <c r="A16" s="40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row>
    <row r="17" spans="1:25" ht="15" customHeight="1" x14ac:dyDescent="0.25">
      <c r="A17" s="400"/>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row>
    <row r="18" spans="1:25" ht="15" customHeight="1" x14ac:dyDescent="0.25">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row>
    <row r="19" spans="1:25" ht="15" customHeight="1" x14ac:dyDescent="0.25">
      <c r="A19" s="400"/>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row>
    <row r="20" spans="1:25" ht="15" customHeight="1" x14ac:dyDescent="0.25">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row>
    <row r="21" spans="1:25" ht="15" customHeight="1" x14ac:dyDescent="0.25">
      <c r="A21" s="400"/>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row>
    <row r="22" spans="1:25" ht="15" customHeight="1" x14ac:dyDescent="0.25">
      <c r="A22" s="400"/>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row>
    <row r="23" spans="1:25" ht="15" customHeight="1" x14ac:dyDescent="0.25">
      <c r="A23" s="400"/>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row>
    <row r="24" spans="1:25" ht="15" customHeight="1" x14ac:dyDescent="0.25">
      <c r="A24" s="400"/>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row>
    <row r="25" spans="1:25" ht="15" customHeight="1" x14ac:dyDescent="0.25">
      <c r="A25" s="400"/>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row>
    <row r="26" spans="1:25" ht="15" customHeight="1" x14ac:dyDescent="0.25">
      <c r="A26" s="400"/>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85" zoomScaleNormal="85" workbookViewId="0">
      <selection activeCell="AE49" sqref="AE49"/>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401" t="s">
        <v>228</v>
      </c>
      <c r="B1" s="401"/>
      <c r="C1" s="401"/>
      <c r="D1" s="401"/>
      <c r="E1" s="401"/>
      <c r="F1" s="401"/>
      <c r="G1" s="401"/>
      <c r="H1" s="401"/>
      <c r="I1" s="401"/>
      <c r="J1" s="401"/>
      <c r="K1" s="401"/>
      <c r="L1" s="174"/>
      <c r="M1" s="174"/>
      <c r="N1" s="174"/>
      <c r="O1" s="174"/>
      <c r="P1" s="174"/>
      <c r="Q1" s="174"/>
      <c r="R1" s="174"/>
      <c r="S1" s="174"/>
      <c r="T1" s="174"/>
      <c r="U1" s="174"/>
      <c r="V1" s="174"/>
      <c r="W1" s="175"/>
      <c r="X1" s="176"/>
      <c r="Y1" s="177"/>
      <c r="Z1" s="176"/>
      <c r="AA1" s="176"/>
    </row>
    <row r="2" spans="1:28" x14ac:dyDescent="0.2">
      <c r="A2" s="402" t="s">
        <v>145</v>
      </c>
      <c r="B2" s="402"/>
      <c r="C2" s="402"/>
      <c r="D2" s="402"/>
      <c r="E2" s="402"/>
      <c r="F2" s="402"/>
      <c r="G2" s="402"/>
      <c r="H2" s="402"/>
      <c r="I2" s="402"/>
      <c r="J2" s="402"/>
      <c r="K2" s="402"/>
      <c r="L2" s="178"/>
      <c r="M2" s="101"/>
      <c r="N2" s="101"/>
      <c r="O2" s="101"/>
      <c r="P2" s="101"/>
      <c r="Q2" s="101"/>
      <c r="R2" s="101"/>
      <c r="S2" s="101"/>
      <c r="T2" s="101"/>
      <c r="U2" s="178"/>
      <c r="V2" s="179" t="s">
        <v>146</v>
      </c>
      <c r="W2" s="175"/>
      <c r="X2" s="176"/>
      <c r="Y2" s="180"/>
      <c r="Z2" s="176"/>
      <c r="AA2" s="176"/>
    </row>
    <row r="3" spans="1:28" x14ac:dyDescent="0.2">
      <c r="A3" s="178"/>
      <c r="B3" s="178"/>
      <c r="C3" s="178"/>
      <c r="D3" s="181"/>
      <c r="E3" s="181"/>
      <c r="F3" s="178"/>
      <c r="G3" s="178"/>
      <c r="H3" s="178"/>
      <c r="I3" s="182"/>
      <c r="J3" s="183"/>
      <c r="K3" s="178"/>
      <c r="L3" s="178"/>
      <c r="M3" s="178"/>
      <c r="N3" s="178"/>
      <c r="O3" s="181"/>
      <c r="P3" s="181"/>
      <c r="Q3" s="178"/>
      <c r="R3" s="178"/>
      <c r="S3" s="178"/>
      <c r="T3" s="182"/>
      <c r="U3" s="102"/>
      <c r="V3" s="178"/>
      <c r="W3" s="175"/>
      <c r="X3" s="176"/>
      <c r="Y3" s="177"/>
      <c r="Z3" s="176"/>
      <c r="AA3" s="176"/>
    </row>
    <row r="4" spans="1:28" x14ac:dyDescent="0.2">
      <c r="A4" s="178"/>
      <c r="B4" s="178"/>
      <c r="C4" s="178"/>
      <c r="D4" s="403" t="s">
        <v>147</v>
      </c>
      <c r="E4" s="404"/>
      <c r="F4" s="405">
        <v>2018</v>
      </c>
      <c r="G4" s="406"/>
      <c r="H4" s="407"/>
      <c r="I4" s="178"/>
      <c r="J4" s="183"/>
      <c r="K4" s="403" t="s">
        <v>148</v>
      </c>
      <c r="L4" s="404"/>
      <c r="M4" s="405">
        <v>1</v>
      </c>
      <c r="N4" s="407"/>
      <c r="O4" s="414"/>
      <c r="P4" s="415"/>
      <c r="Q4" s="415"/>
      <c r="R4" s="415"/>
      <c r="S4" s="415"/>
      <c r="T4" s="178"/>
      <c r="U4" s="178"/>
      <c r="V4" s="178"/>
      <c r="W4" s="175"/>
      <c r="X4" s="176"/>
      <c r="Y4" s="180"/>
      <c r="Z4" s="176"/>
      <c r="AA4" s="176"/>
    </row>
    <row r="5" spans="1:28" x14ac:dyDescent="0.2">
      <c r="A5" s="178"/>
      <c r="B5" s="178"/>
      <c r="C5" s="178"/>
      <c r="D5" s="178"/>
      <c r="E5" s="178"/>
      <c r="F5" s="178"/>
      <c r="G5" s="178"/>
      <c r="H5" s="178"/>
      <c r="I5" s="178"/>
      <c r="J5" s="183"/>
      <c r="K5" s="178"/>
      <c r="L5" s="178"/>
      <c r="M5" s="178"/>
      <c r="N5" s="178"/>
      <c r="O5" s="178"/>
      <c r="P5" s="178"/>
      <c r="Q5" s="178"/>
      <c r="R5" s="178"/>
      <c r="S5" s="178"/>
      <c r="T5" s="178"/>
      <c r="U5" s="178"/>
      <c r="V5" s="178"/>
      <c r="W5" s="175"/>
      <c r="X5" s="176"/>
      <c r="Y5" s="184"/>
      <c r="Z5" s="176"/>
      <c r="AA5" s="176"/>
    </row>
    <row r="6" spans="1:28" x14ac:dyDescent="0.2">
      <c r="A6" s="176"/>
      <c r="B6" s="176"/>
      <c r="C6" s="176"/>
      <c r="D6" s="176"/>
      <c r="E6" s="176"/>
      <c r="F6" s="176"/>
      <c r="G6" s="176"/>
      <c r="H6" s="176"/>
      <c r="I6" s="176"/>
      <c r="J6" s="177"/>
      <c r="K6" s="176"/>
      <c r="L6" s="176"/>
      <c r="M6" s="176"/>
      <c r="N6" s="176"/>
      <c r="O6" s="176"/>
      <c r="P6" s="176"/>
      <c r="Q6" s="176"/>
      <c r="R6" s="176"/>
      <c r="S6" s="176"/>
      <c r="T6" s="176"/>
      <c r="U6" s="176"/>
      <c r="V6" s="176"/>
      <c r="W6" s="176"/>
      <c r="X6" s="176"/>
      <c r="Y6" s="185"/>
      <c r="Z6" s="176"/>
      <c r="AA6" s="176"/>
    </row>
    <row r="7" spans="1:28" s="103" customFormat="1" ht="18" customHeight="1" x14ac:dyDescent="0.2">
      <c r="A7" s="186"/>
      <c r="B7" s="416" t="s">
        <v>149</v>
      </c>
      <c r="C7" s="416"/>
      <c r="D7" s="416"/>
      <c r="E7" s="416"/>
      <c r="F7" s="416"/>
      <c r="G7" s="416"/>
      <c r="H7" s="416"/>
      <c r="I7" s="416"/>
      <c r="J7" s="416"/>
      <c r="K7" s="416"/>
      <c r="L7" s="416"/>
      <c r="M7" s="416"/>
      <c r="N7" s="416"/>
      <c r="O7" s="416"/>
      <c r="P7" s="416"/>
      <c r="Q7" s="416"/>
      <c r="R7" s="416"/>
      <c r="S7" s="416"/>
      <c r="T7" s="416"/>
      <c r="U7" s="416"/>
      <c r="V7" s="416"/>
      <c r="W7" s="186"/>
      <c r="X7" s="186"/>
      <c r="Y7" s="408"/>
      <c r="Z7" s="186"/>
      <c r="AA7" s="186"/>
    </row>
    <row r="8" spans="1:28" s="104" customFormat="1" ht="6" customHeight="1" x14ac:dyDescent="0.2">
      <c r="A8" s="187"/>
      <c r="B8" s="188"/>
      <c r="C8" s="188"/>
      <c r="D8" s="188"/>
      <c r="E8" s="188"/>
      <c r="F8" s="188"/>
      <c r="G8" s="188"/>
      <c r="H8" s="188"/>
      <c r="I8" s="188"/>
      <c r="J8" s="189"/>
      <c r="K8" s="188"/>
      <c r="L8" s="190"/>
      <c r="M8" s="188"/>
      <c r="N8" s="188"/>
      <c r="O8" s="188"/>
      <c r="P8" s="188"/>
      <c r="Q8" s="188"/>
      <c r="R8" s="188"/>
      <c r="S8" s="188"/>
      <c r="T8" s="188"/>
      <c r="U8" s="188"/>
      <c r="V8" s="188"/>
      <c r="W8" s="187"/>
      <c r="X8" s="187"/>
      <c r="Y8" s="408"/>
      <c r="Z8" s="187"/>
      <c r="AA8" s="187"/>
    </row>
    <row r="9" spans="1:28" s="106" customFormat="1" ht="13.5" x14ac:dyDescent="0.3">
      <c r="A9" s="191"/>
      <c r="B9" s="409">
        <f>DATE(year,7,1)</f>
        <v>43282</v>
      </c>
      <c r="C9" s="410"/>
      <c r="D9" s="410"/>
      <c r="E9" s="410"/>
      <c r="F9" s="410"/>
      <c r="G9" s="410"/>
      <c r="H9" s="410"/>
      <c r="I9" s="192"/>
      <c r="J9" s="411" t="s">
        <v>150</v>
      </c>
      <c r="K9" s="411"/>
      <c r="L9" s="193"/>
      <c r="M9" s="409">
        <f>DATE(year+1,1,1)</f>
        <v>43466</v>
      </c>
      <c r="N9" s="410"/>
      <c r="O9" s="410"/>
      <c r="P9" s="410"/>
      <c r="Q9" s="410"/>
      <c r="R9" s="410"/>
      <c r="S9" s="410"/>
      <c r="T9" s="193"/>
      <c r="U9" s="411" t="s">
        <v>151</v>
      </c>
      <c r="V9" s="411"/>
      <c r="W9" s="191"/>
      <c r="X9" s="191"/>
      <c r="Y9" s="408"/>
      <c r="Z9" s="194"/>
      <c r="AA9" s="194"/>
      <c r="AB9" s="108"/>
    </row>
    <row r="10" spans="1:28" s="105" customFormat="1" x14ac:dyDescent="0.2">
      <c r="A10" s="190"/>
      <c r="B10" s="195" t="str">
        <f>IF(startday=1,INDEX(weekDayNames,1),INDEX(weekDayNames,2))</f>
        <v>Su</v>
      </c>
      <c r="C10" s="196" t="str">
        <f>IF(startday=1,INDEX(weekDayNames,2),INDEX(weekDayNames,3))</f>
        <v>M</v>
      </c>
      <c r="D10" s="196" t="str">
        <f>IF(startday=1,INDEX(weekDayNames,3),INDEX(weekDayNames,4))</f>
        <v>Tu</v>
      </c>
      <c r="E10" s="196" t="str">
        <f>IF(startday=1,INDEX(weekDayNames,4),INDEX(weekDayNames,5))</f>
        <v>W</v>
      </c>
      <c r="F10" s="196" t="str">
        <f>IF(startday=1,INDEX(weekDayNames,5),INDEX(weekDayNames,6))</f>
        <v>Th</v>
      </c>
      <c r="G10" s="196" t="str">
        <f>IF(startday=1,INDEX(weekDayNames,6),INDEX(weekDayNames,7))</f>
        <v>F</v>
      </c>
      <c r="H10" s="195" t="str">
        <f>IF(startday=1,INDEX(weekDayNames,7),INDEX(weekDayNames,1))</f>
        <v>Sa</v>
      </c>
      <c r="I10" s="193"/>
      <c r="J10" s="412" t="s">
        <v>152</v>
      </c>
      <c r="K10" s="412"/>
      <c r="L10" s="193"/>
      <c r="M10" s="195" t="str">
        <f>IF(startday=1,INDEX(weekDayNames,1),INDEX(weekDayNames,2))</f>
        <v>Su</v>
      </c>
      <c r="N10" s="196" t="str">
        <f>IF(startday=1,INDEX(weekDayNames,2),INDEX(weekDayNames,3))</f>
        <v>M</v>
      </c>
      <c r="O10" s="196" t="str">
        <f>IF(startday=1,INDEX(weekDayNames,3),INDEX(weekDayNames,4))</f>
        <v>Tu</v>
      </c>
      <c r="P10" s="196" t="str">
        <f>IF(startday=1,INDEX(weekDayNames,4),INDEX(weekDayNames,5))</f>
        <v>W</v>
      </c>
      <c r="Q10" s="196" t="str">
        <f>IF(startday=1,INDEX(weekDayNames,5),INDEX(weekDayNames,6))</f>
        <v>Th</v>
      </c>
      <c r="R10" s="196" t="str">
        <f>IF(startday=1,INDEX(weekDayNames,6),INDEX(weekDayNames,7))</f>
        <v>F</v>
      </c>
      <c r="S10" s="195" t="str">
        <f>IF(startday=1,INDEX(weekDayNames,7),INDEX(weekDayNames,1))</f>
        <v>Sa</v>
      </c>
      <c r="T10" s="193"/>
      <c r="U10" s="197">
        <v>9</v>
      </c>
      <c r="V10" s="198" t="s">
        <v>208</v>
      </c>
      <c r="W10" s="190"/>
      <c r="X10" s="190"/>
      <c r="Y10" s="408"/>
      <c r="Z10" s="190"/>
      <c r="AA10" s="190"/>
    </row>
    <row r="11" spans="1:28" s="105" customFormat="1" x14ac:dyDescent="0.2">
      <c r="A11" s="190"/>
      <c r="B11" s="199">
        <f t="array" ref="B11:H16">IF(MONTH(B9)&lt;&gt;MONTH(DATE(YEAR(B9),MONTH(B9),1)-WEEKDAY(DATE(YEAR(B9),MONTH(B9),1),startday)+(WeekNo-1)*7+WeekDay),"",DATE(YEAR(B9),MONTH(B9),1)-WEEKDAY(DATE(YEAR(B9),MONTH(B9),1),startday)+(WeekNo-1)*7+WeekDay)</f>
        <v>43282</v>
      </c>
      <c r="C11" s="200">
        <v>43283</v>
      </c>
      <c r="D11" s="201">
        <v>43284</v>
      </c>
      <c r="E11" s="202">
        <v>43285</v>
      </c>
      <c r="F11" s="202">
        <v>43286</v>
      </c>
      <c r="G11" s="202">
        <v>43287</v>
      </c>
      <c r="H11" s="199">
        <v>43288</v>
      </c>
      <c r="I11" s="193"/>
      <c r="J11" s="413" t="s">
        <v>209</v>
      </c>
      <c r="K11" s="413"/>
      <c r="L11" s="193"/>
      <c r="M11" s="199" t="str">
        <f t="array" ref="M11:S16">IF(MONTH(M9)&lt;&gt;MONTH(DATE(YEAR(M9),MONTH(M9),1)-WEEKDAY(DATE(YEAR(M9),MONTH(M9),1),startday)+(WeekNo-1)*7+WeekDay),"",DATE(YEAR(M9),MONTH(M9),1)-WEEKDAY(DATE(YEAR(M9),MONTH(M9),1),startday)+(WeekNo-1)*7+WeekDay)</f>
        <v/>
      </c>
      <c r="N11" s="202" t="str">
        <v/>
      </c>
      <c r="O11" s="202">
        <v>43466</v>
      </c>
      <c r="P11" s="202">
        <v>43467</v>
      </c>
      <c r="Q11" s="202">
        <v>43468</v>
      </c>
      <c r="R11" s="202">
        <v>43469</v>
      </c>
      <c r="S11" s="199">
        <v>43470</v>
      </c>
      <c r="T11" s="193"/>
      <c r="U11" s="203">
        <v>15</v>
      </c>
      <c r="V11" s="204" t="s">
        <v>153</v>
      </c>
      <c r="W11" s="190"/>
      <c r="X11" s="190"/>
      <c r="Y11" s="408"/>
      <c r="Z11" s="190"/>
      <c r="AA11" s="190"/>
    </row>
    <row r="12" spans="1:28" s="105" customFormat="1" x14ac:dyDescent="0.2">
      <c r="A12" s="190"/>
      <c r="B12" s="199">
        <v>43289</v>
      </c>
      <c r="C12" s="202">
        <v>43290</v>
      </c>
      <c r="D12" s="202">
        <v>43291</v>
      </c>
      <c r="E12" s="205">
        <v>43292</v>
      </c>
      <c r="F12" s="202">
        <v>43293</v>
      </c>
      <c r="G12" s="202">
        <v>43294</v>
      </c>
      <c r="H12" s="199">
        <v>43295</v>
      </c>
      <c r="I12" s="193"/>
      <c r="J12" s="417" t="s">
        <v>210</v>
      </c>
      <c r="K12" s="417"/>
      <c r="L12" s="193"/>
      <c r="M12" s="199">
        <v>43471</v>
      </c>
      <c r="N12" s="202">
        <v>43472</v>
      </c>
      <c r="O12" s="202">
        <v>43473</v>
      </c>
      <c r="P12" s="205">
        <v>43474</v>
      </c>
      <c r="Q12" s="202">
        <v>43475</v>
      </c>
      <c r="R12" s="202">
        <v>43476</v>
      </c>
      <c r="S12" s="199">
        <v>43477</v>
      </c>
      <c r="T12" s="193"/>
      <c r="U12" s="197">
        <v>23</v>
      </c>
      <c r="V12" s="198" t="s">
        <v>208</v>
      </c>
      <c r="W12" s="190"/>
      <c r="X12" s="190"/>
      <c r="Y12" s="206"/>
      <c r="Z12" s="207"/>
      <c r="AA12" s="207"/>
      <c r="AB12" s="109"/>
    </row>
    <row r="13" spans="1:28" s="105" customFormat="1" ht="11.25" customHeight="1" x14ac:dyDescent="0.2">
      <c r="A13" s="190"/>
      <c r="B13" s="199">
        <v>43296</v>
      </c>
      <c r="C13" s="202">
        <v>43297</v>
      </c>
      <c r="D13" s="201">
        <v>43298</v>
      </c>
      <c r="E13" s="202">
        <v>43299</v>
      </c>
      <c r="F13" s="202">
        <v>43300</v>
      </c>
      <c r="G13" s="202">
        <v>43301</v>
      </c>
      <c r="H13" s="199">
        <v>43302</v>
      </c>
      <c r="I13" s="193"/>
      <c r="J13" s="208"/>
      <c r="K13" s="209"/>
      <c r="L13" s="193"/>
      <c r="M13" s="199">
        <v>43478</v>
      </c>
      <c r="N13" s="202">
        <v>43479</v>
      </c>
      <c r="O13" s="201">
        <v>43480</v>
      </c>
      <c r="P13" s="202">
        <v>43481</v>
      </c>
      <c r="Q13" s="202">
        <v>43482</v>
      </c>
      <c r="R13" s="201">
        <v>43483</v>
      </c>
      <c r="S13" s="199">
        <v>43484</v>
      </c>
      <c r="T13" s="193"/>
      <c r="U13" s="203">
        <v>29</v>
      </c>
      <c r="V13" s="204" t="s">
        <v>153</v>
      </c>
      <c r="W13" s="190"/>
      <c r="X13" s="190"/>
      <c r="Y13" s="208"/>
      <c r="Z13" s="209"/>
      <c r="AA13" s="207"/>
      <c r="AB13" s="109"/>
    </row>
    <row r="14" spans="1:28" s="105" customFormat="1" ht="11.25" x14ac:dyDescent="0.2">
      <c r="A14" s="190"/>
      <c r="B14" s="199">
        <v>43303</v>
      </c>
      <c r="C14" s="202">
        <v>43304</v>
      </c>
      <c r="D14" s="202">
        <v>43305</v>
      </c>
      <c r="E14" s="205">
        <v>43306</v>
      </c>
      <c r="F14" s="202">
        <v>43307</v>
      </c>
      <c r="G14" s="202">
        <v>43308</v>
      </c>
      <c r="H14" s="199">
        <v>43309</v>
      </c>
      <c r="I14" s="193"/>
      <c r="J14" s="210">
        <v>2</v>
      </c>
      <c r="K14" s="209" t="s">
        <v>211</v>
      </c>
      <c r="L14" s="193"/>
      <c r="M14" s="199">
        <v>43485</v>
      </c>
      <c r="N14" s="202">
        <v>43486</v>
      </c>
      <c r="O14" s="202">
        <v>43487</v>
      </c>
      <c r="P14" s="205">
        <v>43488</v>
      </c>
      <c r="Q14" s="202">
        <v>43489</v>
      </c>
      <c r="R14" s="202">
        <v>43490</v>
      </c>
      <c r="S14" s="199">
        <v>43491</v>
      </c>
      <c r="T14" s="193"/>
      <c r="U14" s="211">
        <v>31</v>
      </c>
      <c r="V14" s="212" t="s">
        <v>212</v>
      </c>
      <c r="W14" s="190"/>
      <c r="X14" s="190"/>
      <c r="Y14" s="208"/>
      <c r="Z14" s="209"/>
      <c r="AA14" s="207"/>
      <c r="AB14" s="109"/>
    </row>
    <row r="15" spans="1:28" s="105" customFormat="1" ht="11.25" x14ac:dyDescent="0.2">
      <c r="A15" s="190"/>
      <c r="B15" s="199">
        <v>43310</v>
      </c>
      <c r="C15" s="202">
        <v>43311</v>
      </c>
      <c r="D15" s="201">
        <v>43312</v>
      </c>
      <c r="E15" s="205" t="str">
        <v/>
      </c>
      <c r="F15" s="213" t="str">
        <v/>
      </c>
      <c r="G15" s="202" t="str">
        <v/>
      </c>
      <c r="H15" s="199" t="str">
        <v/>
      </c>
      <c r="I15" s="193"/>
      <c r="J15" s="214" t="s">
        <v>213</v>
      </c>
      <c r="K15" s="190" t="s">
        <v>214</v>
      </c>
      <c r="L15" s="193"/>
      <c r="M15" s="199">
        <v>43492</v>
      </c>
      <c r="N15" s="202">
        <v>43493</v>
      </c>
      <c r="O15" s="201">
        <v>43494</v>
      </c>
      <c r="P15" s="202">
        <v>43495</v>
      </c>
      <c r="Q15" s="200">
        <v>43496</v>
      </c>
      <c r="R15" s="215" t="str">
        <v/>
      </c>
      <c r="S15" s="199" t="str">
        <v/>
      </c>
      <c r="T15" s="193"/>
      <c r="U15" s="216"/>
      <c r="V15" s="204"/>
      <c r="W15" s="190"/>
      <c r="X15" s="190"/>
      <c r="Y15" s="208"/>
      <c r="Z15" s="209"/>
      <c r="AA15" s="207"/>
      <c r="AB15" s="109"/>
    </row>
    <row r="16" spans="1:28" s="105" customFormat="1" ht="11.25" x14ac:dyDescent="0.2">
      <c r="A16" s="190"/>
      <c r="B16" s="199" t="str">
        <v/>
      </c>
      <c r="C16" s="201" t="str">
        <v/>
      </c>
      <c r="D16" s="202" t="str">
        <v/>
      </c>
      <c r="E16" s="202" t="str">
        <v/>
      </c>
      <c r="F16" s="202" t="str">
        <v/>
      </c>
      <c r="G16" s="202" t="str">
        <v/>
      </c>
      <c r="H16" s="199" t="str">
        <v/>
      </c>
      <c r="I16" s="193"/>
      <c r="J16" s="203" t="s">
        <v>215</v>
      </c>
      <c r="K16" s="209" t="s">
        <v>216</v>
      </c>
      <c r="L16" s="193"/>
      <c r="M16" s="199" t="str">
        <v/>
      </c>
      <c r="N16" s="202" t="str">
        <v/>
      </c>
      <c r="O16" s="202" t="str">
        <v/>
      </c>
      <c r="P16" s="202" t="str">
        <v/>
      </c>
      <c r="Q16" s="202" t="str">
        <v/>
      </c>
      <c r="R16" s="202" t="str">
        <v/>
      </c>
      <c r="S16" s="199" t="str">
        <v/>
      </c>
      <c r="T16" s="193"/>
      <c r="U16" s="190"/>
      <c r="V16" s="190"/>
      <c r="W16" s="190"/>
      <c r="X16" s="190"/>
      <c r="Y16" s="208"/>
      <c r="Z16" s="209"/>
      <c r="AA16" s="207"/>
      <c r="AB16" s="109"/>
    </row>
    <row r="17" spans="1:40" s="105" customFormat="1" ht="11.25" x14ac:dyDescent="0.2">
      <c r="A17" s="190"/>
      <c r="B17" s="217"/>
      <c r="C17" s="218"/>
      <c r="D17" s="219"/>
      <c r="E17" s="219"/>
      <c r="F17" s="219"/>
      <c r="G17" s="219"/>
      <c r="H17" s="217"/>
      <c r="I17" s="193"/>
      <c r="J17" s="190"/>
      <c r="K17" s="209"/>
      <c r="L17" s="193"/>
      <c r="M17" s="217"/>
      <c r="N17" s="219"/>
      <c r="O17" s="219"/>
      <c r="P17" s="219"/>
      <c r="Q17" s="219"/>
      <c r="R17" s="219"/>
      <c r="S17" s="217"/>
      <c r="T17" s="193"/>
      <c r="U17" s="190"/>
      <c r="V17" s="190"/>
      <c r="W17" s="190"/>
      <c r="X17" s="190"/>
      <c r="Y17" s="208"/>
      <c r="Z17" s="209"/>
      <c r="AA17" s="207"/>
      <c r="AB17" s="109"/>
    </row>
    <row r="18" spans="1:40" s="105" customFormat="1" ht="4.5" customHeight="1" x14ac:dyDescent="0.3">
      <c r="A18" s="190"/>
      <c r="B18" s="193"/>
      <c r="C18" s="193"/>
      <c r="D18" s="193"/>
      <c r="E18" s="193"/>
      <c r="F18" s="193"/>
      <c r="G18" s="193"/>
      <c r="H18" s="193"/>
      <c r="I18" s="193"/>
      <c r="J18" s="220"/>
      <c r="K18" s="193"/>
      <c r="L18" s="193"/>
      <c r="M18" s="193"/>
      <c r="N18" s="193"/>
      <c r="O18" s="193"/>
      <c r="P18" s="193"/>
      <c r="Q18" s="193"/>
      <c r="R18" s="193"/>
      <c r="S18" s="193"/>
      <c r="T18" s="193"/>
      <c r="U18" s="191"/>
      <c r="V18" s="191"/>
      <c r="W18" s="190"/>
      <c r="X18" s="190"/>
      <c r="Y18" s="208"/>
      <c r="Z18" s="209"/>
      <c r="AA18" s="207"/>
      <c r="AB18" s="109"/>
      <c r="AF18" s="111"/>
      <c r="AG18" s="107"/>
      <c r="AM18" s="111"/>
      <c r="AN18" s="107"/>
    </row>
    <row r="19" spans="1:40" s="106" customFormat="1" ht="13.5" x14ac:dyDescent="0.3">
      <c r="A19" s="191"/>
      <c r="B19" s="409">
        <f>DATE(year,8,1)</f>
        <v>43313</v>
      </c>
      <c r="C19" s="410"/>
      <c r="D19" s="410"/>
      <c r="E19" s="410"/>
      <c r="F19" s="410"/>
      <c r="G19" s="410"/>
      <c r="H19" s="410"/>
      <c r="I19" s="192"/>
      <c r="J19" s="411" t="s">
        <v>154</v>
      </c>
      <c r="K19" s="411"/>
      <c r="L19" s="193"/>
      <c r="M19" s="409">
        <f>DATE(year+1,2,1)</f>
        <v>43497</v>
      </c>
      <c r="N19" s="410"/>
      <c r="O19" s="410"/>
      <c r="P19" s="410"/>
      <c r="Q19" s="410"/>
      <c r="R19" s="410"/>
      <c r="S19" s="410"/>
      <c r="T19" s="193"/>
      <c r="U19" s="411" t="s">
        <v>155</v>
      </c>
      <c r="V19" s="411"/>
      <c r="W19" s="191"/>
      <c r="X19" s="191"/>
      <c r="Y19" s="208"/>
      <c r="Z19" s="209"/>
      <c r="AA19" s="207"/>
      <c r="AB19" s="112"/>
      <c r="AC19" s="113"/>
    </row>
    <row r="20" spans="1:40" s="105" customFormat="1" ht="11.25" x14ac:dyDescent="0.2">
      <c r="A20" s="190"/>
      <c r="B20" s="195" t="str">
        <f>IF(startday=1,INDEX(weekDayNames,1),INDEX(weekDayNames,2))</f>
        <v>Su</v>
      </c>
      <c r="C20" s="196" t="str">
        <f>IF(startday=1,INDEX(weekDayNames,2),INDEX(weekDayNames,3))</f>
        <v>M</v>
      </c>
      <c r="D20" s="196" t="str">
        <f>IF(startday=1,INDEX(weekDayNames,3),INDEX(weekDayNames,4))</f>
        <v>Tu</v>
      </c>
      <c r="E20" s="196" t="str">
        <f>IF(startday=1,INDEX(weekDayNames,4),INDEX(weekDayNames,5))</f>
        <v>W</v>
      </c>
      <c r="F20" s="196" t="str">
        <f>IF(startday=1,INDEX(weekDayNames,5),INDEX(weekDayNames,6))</f>
        <v>Th</v>
      </c>
      <c r="G20" s="196" t="str">
        <f>IF(startday=1,INDEX(weekDayNames,6),INDEX(weekDayNames,7))</f>
        <v>F</v>
      </c>
      <c r="H20" s="195" t="str">
        <f>IF(startday=1,INDEX(weekDayNames,7),INDEX(weekDayNames,1))</f>
        <v>Sa</v>
      </c>
      <c r="I20" s="193"/>
      <c r="J20" s="221">
        <v>8</v>
      </c>
      <c r="K20" s="198" t="s">
        <v>208</v>
      </c>
      <c r="L20" s="190"/>
      <c r="M20" s="195" t="str">
        <f>IF(startday=1,INDEX(weekDayNames,1),INDEX(weekDayNames,2))</f>
        <v>Su</v>
      </c>
      <c r="N20" s="196" t="str">
        <f>IF(startday=1,INDEX(weekDayNames,2),INDEX(weekDayNames,3))</f>
        <v>M</v>
      </c>
      <c r="O20" s="196" t="str">
        <f>IF(startday=1,INDEX(weekDayNames,3),INDEX(weekDayNames,4))</f>
        <v>Tu</v>
      </c>
      <c r="P20" s="196" t="str">
        <f>IF(startday=1,INDEX(weekDayNames,4),INDEX(weekDayNames,5))</f>
        <v>W</v>
      </c>
      <c r="Q20" s="196" t="str">
        <f>IF(startday=1,INDEX(weekDayNames,5),INDEX(weekDayNames,6))</f>
        <v>Th</v>
      </c>
      <c r="R20" s="196" t="str">
        <f>IF(startday=1,INDEX(weekDayNames,6),INDEX(weekDayNames,7))</f>
        <v>F</v>
      </c>
      <c r="S20" s="195" t="str">
        <f>IF(startday=1,INDEX(weekDayNames,7),INDEX(weekDayNames,1))</f>
        <v>Sa</v>
      </c>
      <c r="T20" s="193"/>
      <c r="U20" s="222">
        <v>6</v>
      </c>
      <c r="V20" s="198" t="s">
        <v>208</v>
      </c>
      <c r="W20" s="190"/>
      <c r="X20" s="190"/>
      <c r="Y20" s="223"/>
      <c r="Z20" s="190"/>
      <c r="AA20" s="207"/>
      <c r="AB20" s="109"/>
    </row>
    <row r="21" spans="1:40" s="105" customFormat="1" ht="11.25" x14ac:dyDescent="0.2">
      <c r="A21" s="190"/>
      <c r="B21" s="199" t="str">
        <f t="array" ref="B21:H26">IF(MONTH(B19)&lt;&gt;MONTH(DATE(YEAR(B19),MONTH(B19),1)-WEEKDAY(DATE(YEAR(B19),MONTH(B19),1),startday)+(WeekNo-1)*7+WeekDay),"",DATE(YEAR(B19),MONTH(B19),1)-WEEKDAY(DATE(YEAR(B19),MONTH(B19),1),startday)+(WeekNo-1)*7+WeekDay)</f>
        <v/>
      </c>
      <c r="C21" s="202" t="str">
        <v/>
      </c>
      <c r="D21" s="202" t="str">
        <v/>
      </c>
      <c r="E21" s="202">
        <v>43313</v>
      </c>
      <c r="F21" s="202">
        <v>43314</v>
      </c>
      <c r="G21" s="202">
        <v>43315</v>
      </c>
      <c r="H21" s="199">
        <v>43316</v>
      </c>
      <c r="I21" s="193"/>
      <c r="J21" s="203">
        <v>14</v>
      </c>
      <c r="K21" s="224" t="s">
        <v>153</v>
      </c>
      <c r="L21" s="190"/>
      <c r="M21" s="199" t="str">
        <f t="array" ref="M21:S26">IF(MONTH(M19)&lt;&gt;MONTH(DATE(YEAR(M19),MONTH(M19),1)-WEEKDAY(DATE(YEAR(M19),MONTH(M19),1),startday)+(WeekNo-1)*7+WeekDay),"",DATE(YEAR(M19),MONTH(M19),1)-WEEKDAY(DATE(YEAR(M19),MONTH(M19),1),startday)+(WeekNo-1)*7+WeekDay)</f>
        <v/>
      </c>
      <c r="N21" s="202" t="str">
        <v/>
      </c>
      <c r="O21" s="202" t="str">
        <v/>
      </c>
      <c r="P21" s="202" t="str">
        <v/>
      </c>
      <c r="Q21" s="202" t="str">
        <v/>
      </c>
      <c r="R21" s="202">
        <v>43497</v>
      </c>
      <c r="S21" s="199">
        <v>43498</v>
      </c>
      <c r="T21" s="193"/>
      <c r="U21" s="203">
        <v>12</v>
      </c>
      <c r="V21" s="204" t="s">
        <v>153</v>
      </c>
      <c r="W21" s="190"/>
      <c r="X21" s="190"/>
      <c r="Y21" s="223"/>
      <c r="Z21" s="190"/>
      <c r="AA21" s="190"/>
    </row>
    <row r="22" spans="1:40" s="105" customFormat="1" ht="13.5" x14ac:dyDescent="0.3">
      <c r="A22" s="190"/>
      <c r="B22" s="199">
        <v>43317</v>
      </c>
      <c r="C22" s="202">
        <v>43318</v>
      </c>
      <c r="D22" s="202">
        <v>43319</v>
      </c>
      <c r="E22" s="205">
        <v>43320</v>
      </c>
      <c r="F22" s="202">
        <v>43321</v>
      </c>
      <c r="G22" s="202">
        <v>43322</v>
      </c>
      <c r="H22" s="199">
        <v>43323</v>
      </c>
      <c r="I22" s="193"/>
      <c r="J22" s="221">
        <v>22</v>
      </c>
      <c r="K22" s="198" t="s">
        <v>208</v>
      </c>
      <c r="L22" s="193"/>
      <c r="M22" s="199">
        <v>43499</v>
      </c>
      <c r="N22" s="202">
        <v>43500</v>
      </c>
      <c r="O22" s="202">
        <v>43501</v>
      </c>
      <c r="P22" s="205">
        <v>43502</v>
      </c>
      <c r="Q22" s="202">
        <v>43503</v>
      </c>
      <c r="R22" s="202">
        <v>43504</v>
      </c>
      <c r="S22" s="199">
        <v>43505</v>
      </c>
      <c r="T22" s="193"/>
      <c r="U22" s="222">
        <v>20</v>
      </c>
      <c r="V22" s="198" t="s">
        <v>208</v>
      </c>
      <c r="W22" s="190"/>
      <c r="X22" s="190"/>
      <c r="Y22" s="223"/>
      <c r="Z22" s="190"/>
      <c r="AA22" s="191"/>
      <c r="AB22" s="106"/>
    </row>
    <row r="23" spans="1:40" s="105" customFormat="1" ht="11.25" customHeight="1" x14ac:dyDescent="0.2">
      <c r="A23" s="190"/>
      <c r="B23" s="199">
        <v>43324</v>
      </c>
      <c r="C23" s="202">
        <v>43325</v>
      </c>
      <c r="D23" s="201">
        <v>43326</v>
      </c>
      <c r="E23" s="202">
        <v>43327</v>
      </c>
      <c r="F23" s="202">
        <v>43328</v>
      </c>
      <c r="G23" s="202">
        <v>43329</v>
      </c>
      <c r="H23" s="199">
        <v>43330</v>
      </c>
      <c r="I23" s="193"/>
      <c r="J23" s="203">
        <v>28</v>
      </c>
      <c r="K23" s="224" t="s">
        <v>153</v>
      </c>
      <c r="L23" s="193"/>
      <c r="M23" s="199">
        <v>43506</v>
      </c>
      <c r="N23" s="202">
        <v>43507</v>
      </c>
      <c r="O23" s="201">
        <v>43508</v>
      </c>
      <c r="P23" s="202">
        <v>43509</v>
      </c>
      <c r="Q23" s="202">
        <v>43510</v>
      </c>
      <c r="R23" s="202">
        <v>43511</v>
      </c>
      <c r="S23" s="199">
        <v>43512</v>
      </c>
      <c r="T23" s="193"/>
      <c r="U23" s="203">
        <v>26</v>
      </c>
      <c r="V23" s="204" t="s">
        <v>153</v>
      </c>
      <c r="W23" s="190"/>
      <c r="X23" s="190"/>
      <c r="Y23" s="223"/>
      <c r="Z23" s="190"/>
      <c r="AA23" s="190"/>
    </row>
    <row r="24" spans="1:40" s="105" customFormat="1" ht="11.25" customHeight="1" x14ac:dyDescent="0.2">
      <c r="A24" s="190"/>
      <c r="B24" s="199">
        <v>43331</v>
      </c>
      <c r="C24" s="202">
        <v>43332</v>
      </c>
      <c r="D24" s="202">
        <v>43333</v>
      </c>
      <c r="E24" s="205">
        <v>43334</v>
      </c>
      <c r="F24" s="202">
        <v>43335</v>
      </c>
      <c r="G24" s="202">
        <v>43336</v>
      </c>
      <c r="H24" s="199">
        <v>43337</v>
      </c>
      <c r="I24" s="193"/>
      <c r="J24" s="210">
        <v>31</v>
      </c>
      <c r="K24" s="225" t="s">
        <v>156</v>
      </c>
      <c r="L24" s="193"/>
      <c r="M24" s="199">
        <v>43513</v>
      </c>
      <c r="N24" s="202">
        <v>43514</v>
      </c>
      <c r="O24" s="202">
        <v>43515</v>
      </c>
      <c r="P24" s="205">
        <v>43516</v>
      </c>
      <c r="Q24" s="202">
        <v>43517</v>
      </c>
      <c r="R24" s="202">
        <v>43518</v>
      </c>
      <c r="S24" s="199">
        <v>43519</v>
      </c>
      <c r="T24" s="193"/>
      <c r="U24" s="190"/>
      <c r="V24" s="190"/>
      <c r="W24" s="190"/>
      <c r="X24" s="190"/>
      <c r="Y24" s="190"/>
      <c r="Z24" s="190"/>
      <c r="AA24" s="208"/>
    </row>
    <row r="25" spans="1:40" s="105" customFormat="1" ht="12.75" customHeight="1" x14ac:dyDescent="0.2">
      <c r="A25" s="190"/>
      <c r="B25" s="199">
        <v>43338</v>
      </c>
      <c r="C25" s="202">
        <v>43339</v>
      </c>
      <c r="D25" s="201">
        <v>43340</v>
      </c>
      <c r="E25" s="202">
        <v>43341</v>
      </c>
      <c r="F25" s="200">
        <v>43342</v>
      </c>
      <c r="G25" s="213">
        <v>43343</v>
      </c>
      <c r="H25" s="199" t="str">
        <v/>
      </c>
      <c r="I25" s="193"/>
      <c r="J25" s="190"/>
      <c r="K25" s="225" t="s">
        <v>217</v>
      </c>
      <c r="L25" s="193"/>
      <c r="M25" s="199">
        <v>43520</v>
      </c>
      <c r="N25" s="202">
        <v>43521</v>
      </c>
      <c r="O25" s="201">
        <v>43522</v>
      </c>
      <c r="P25" s="202">
        <v>43523</v>
      </c>
      <c r="Q25" s="202">
        <v>43524</v>
      </c>
      <c r="R25" s="202" t="str">
        <v/>
      </c>
      <c r="S25" s="199" t="str">
        <v/>
      </c>
      <c r="T25" s="193"/>
      <c r="U25" s="190"/>
      <c r="V25" s="190"/>
      <c r="W25" s="190"/>
      <c r="X25" s="190"/>
      <c r="Y25" s="190"/>
      <c r="Z25" s="190"/>
      <c r="AA25" s="190"/>
    </row>
    <row r="26" spans="1:40" s="105" customFormat="1" ht="10.5" customHeight="1" x14ac:dyDescent="0.2">
      <c r="A26" s="190"/>
      <c r="B26" s="199" t="str">
        <v/>
      </c>
      <c r="C26" s="202" t="str">
        <v/>
      </c>
      <c r="D26" s="202" t="str">
        <v/>
      </c>
      <c r="E26" s="202" t="str">
        <v/>
      </c>
      <c r="F26" s="202" t="str">
        <v/>
      </c>
      <c r="G26" s="202" t="str">
        <v/>
      </c>
      <c r="H26" s="199" t="str">
        <v/>
      </c>
      <c r="I26" s="193"/>
      <c r="J26" s="190"/>
      <c r="K26" s="190"/>
      <c r="L26" s="190"/>
      <c r="M26" s="199" t="str">
        <v/>
      </c>
      <c r="N26" s="202" t="str">
        <v/>
      </c>
      <c r="O26" s="202" t="str">
        <v/>
      </c>
      <c r="P26" s="202" t="str">
        <v/>
      </c>
      <c r="Q26" s="202" t="str">
        <v/>
      </c>
      <c r="R26" s="202" t="str">
        <v/>
      </c>
      <c r="S26" s="199" t="str">
        <v/>
      </c>
      <c r="T26" s="193"/>
      <c r="U26" s="190"/>
      <c r="V26" s="190"/>
      <c r="W26" s="190"/>
      <c r="X26" s="190"/>
      <c r="Y26" s="190"/>
      <c r="Z26" s="190"/>
      <c r="AA26" s="190"/>
    </row>
    <row r="27" spans="1:40" s="105" customFormat="1" ht="4.5" customHeight="1" x14ac:dyDescent="0.2">
      <c r="A27" s="190"/>
      <c r="B27" s="193"/>
      <c r="C27" s="193"/>
      <c r="D27" s="193"/>
      <c r="E27" s="193"/>
      <c r="F27" s="193"/>
      <c r="G27" s="193"/>
      <c r="H27" s="193"/>
      <c r="I27" s="193"/>
      <c r="J27" s="190"/>
      <c r="K27" s="190"/>
      <c r="L27" s="193"/>
      <c r="M27" s="193"/>
      <c r="N27" s="193"/>
      <c r="O27" s="193"/>
      <c r="P27" s="193"/>
      <c r="Q27" s="193"/>
      <c r="R27" s="193"/>
      <c r="S27" s="193"/>
      <c r="T27" s="193"/>
      <c r="U27" s="190"/>
      <c r="V27" s="190"/>
      <c r="W27" s="190"/>
      <c r="X27" s="190"/>
      <c r="Y27" s="226"/>
      <c r="Z27" s="190"/>
      <c r="AA27" s="190"/>
    </row>
    <row r="28" spans="1:40" s="105" customFormat="1" ht="11.25" x14ac:dyDescent="0.2">
      <c r="A28" s="190"/>
      <c r="B28" s="409">
        <f>DATE(year,9,1)</f>
        <v>43344</v>
      </c>
      <c r="C28" s="410"/>
      <c r="D28" s="410"/>
      <c r="E28" s="410"/>
      <c r="F28" s="410"/>
      <c r="G28" s="410"/>
      <c r="H28" s="410"/>
      <c r="I28" s="193"/>
      <c r="J28" s="411" t="s">
        <v>157</v>
      </c>
      <c r="K28" s="411"/>
      <c r="L28" s="193"/>
      <c r="M28" s="409">
        <f>DATE(year+1,3,1)</f>
        <v>43525</v>
      </c>
      <c r="N28" s="410"/>
      <c r="O28" s="410"/>
      <c r="P28" s="410"/>
      <c r="Q28" s="410"/>
      <c r="R28" s="410"/>
      <c r="S28" s="410"/>
      <c r="T28" s="193"/>
      <c r="U28" s="411" t="s">
        <v>158</v>
      </c>
      <c r="V28" s="411"/>
      <c r="W28" s="190"/>
      <c r="X28" s="190"/>
      <c r="Y28" s="223"/>
      <c r="Z28" s="190"/>
      <c r="AA28" s="190"/>
    </row>
    <row r="29" spans="1:40" s="105" customFormat="1" ht="11.25" x14ac:dyDescent="0.2">
      <c r="A29" s="190"/>
      <c r="B29" s="195" t="str">
        <f>IF(startday=1,INDEX(weekDayNames,1),INDEX(weekDayNames,2))</f>
        <v>Su</v>
      </c>
      <c r="C29" s="196" t="str">
        <f>IF(startday=1,INDEX(weekDayNames,2),INDEX(weekDayNames,3))</f>
        <v>M</v>
      </c>
      <c r="D29" s="196" t="str">
        <f>IF(startday=1,INDEX(weekDayNames,3),INDEX(weekDayNames,4))</f>
        <v>Tu</v>
      </c>
      <c r="E29" s="196" t="str">
        <f>IF(startday=1,INDEX(weekDayNames,4),INDEX(weekDayNames,5))</f>
        <v>W</v>
      </c>
      <c r="F29" s="196" t="str">
        <f>IF(startday=1,INDEX(weekDayNames,5),INDEX(weekDayNames,6))</f>
        <v>Th</v>
      </c>
      <c r="G29" s="196" t="str">
        <f>IF(startday=1,INDEX(weekDayNames,6),INDEX(weekDayNames,7))</f>
        <v>F</v>
      </c>
      <c r="H29" s="195" t="str">
        <f>IF(startday=1,INDEX(weekDayNames,7),INDEX(weekDayNames,1))</f>
        <v>Sa</v>
      </c>
      <c r="I29" s="193"/>
      <c r="J29" s="197">
        <v>5</v>
      </c>
      <c r="K29" s="198" t="s">
        <v>208</v>
      </c>
      <c r="L29" s="193"/>
      <c r="M29" s="195" t="str">
        <f>IF(startday=1,INDEX(weekDayNames,1),INDEX(weekDayNames,2))</f>
        <v>Su</v>
      </c>
      <c r="N29" s="196" t="str">
        <f>IF(startday=1,INDEX(weekDayNames,2),INDEX(weekDayNames,3))</f>
        <v>M</v>
      </c>
      <c r="O29" s="196" t="str">
        <f>IF(startday=1,INDEX(weekDayNames,3),INDEX(weekDayNames,4))</f>
        <v>Tu</v>
      </c>
      <c r="P29" s="196" t="str">
        <f>IF(startday=1,INDEX(weekDayNames,4),INDEX(weekDayNames,5))</f>
        <v>W</v>
      </c>
      <c r="Q29" s="196" t="str">
        <f>IF(startday=1,INDEX(weekDayNames,5),INDEX(weekDayNames,6))</f>
        <v>Th</v>
      </c>
      <c r="R29" s="196" t="str">
        <f>IF(startday=1,INDEX(weekDayNames,6),INDEX(weekDayNames,7))</f>
        <v>F</v>
      </c>
      <c r="S29" s="195" t="str">
        <f>IF(startday=1,INDEX(weekDayNames,7),INDEX(weekDayNames,1))</f>
        <v>Sa</v>
      </c>
      <c r="T29" s="193"/>
      <c r="U29" s="227" t="s">
        <v>218</v>
      </c>
      <c r="V29" s="190" t="s">
        <v>219</v>
      </c>
      <c r="W29" s="190"/>
      <c r="X29" s="190"/>
      <c r="Y29" s="190"/>
      <c r="Z29" s="190"/>
      <c r="AA29" s="190"/>
    </row>
    <row r="30" spans="1:40" s="105" customFormat="1" ht="11.25" x14ac:dyDescent="0.2">
      <c r="A30" s="190"/>
      <c r="B30" s="199" t="str">
        <f t="array" ref="B30:H35">IF(MONTH(B28)&lt;&gt;MONTH(DATE(YEAR(B28),MONTH(B28),1)-WEEKDAY(DATE(YEAR(B28),MONTH(B28),1),startday)+(WeekNo-1)*7+WeekDay),"",DATE(YEAR(B28),MONTH(B28),1)-WEEKDAY(DATE(YEAR(B28),MONTH(B28),1),startday)+(WeekNo-1)*7+WeekDay)</f>
        <v/>
      </c>
      <c r="C30" s="213" t="str">
        <v/>
      </c>
      <c r="D30" s="202" t="str">
        <v/>
      </c>
      <c r="E30" s="202" t="str">
        <v/>
      </c>
      <c r="F30" s="202" t="str">
        <v/>
      </c>
      <c r="G30" s="202" t="str">
        <v/>
      </c>
      <c r="H30" s="199">
        <v>43344</v>
      </c>
      <c r="I30" s="193"/>
      <c r="J30" s="203">
        <v>11</v>
      </c>
      <c r="K30" s="204" t="s">
        <v>153</v>
      </c>
      <c r="L30" s="193"/>
      <c r="M30" s="199" t="str">
        <f t="array" ref="M30:S35">IF(MONTH(M28)&lt;&gt;MONTH(DATE(YEAR(M28),MONTH(M28),1)-WEEKDAY(DATE(YEAR(M28),MONTH(M28),1),startday)+(WeekNo-1)*7+WeekDay),"",DATE(YEAR(M28),MONTH(M28),1)-WEEKDAY(DATE(YEAR(M28),MONTH(M28),1),startday)+(WeekNo-1)*7+WeekDay)</f>
        <v/>
      </c>
      <c r="N30" s="202" t="str">
        <v/>
      </c>
      <c r="O30" s="202" t="str">
        <v/>
      </c>
      <c r="P30" s="202" t="str">
        <v/>
      </c>
      <c r="Q30" s="202" t="str">
        <v/>
      </c>
      <c r="R30" s="202">
        <v>43525</v>
      </c>
      <c r="S30" s="199">
        <v>43526</v>
      </c>
      <c r="T30" s="193"/>
      <c r="U30" s="203">
        <v>12</v>
      </c>
      <c r="V30" s="204" t="s">
        <v>153</v>
      </c>
      <c r="W30" s="190"/>
      <c r="X30" s="190"/>
      <c r="Y30" s="223"/>
      <c r="Z30" s="190"/>
      <c r="AA30" s="190"/>
    </row>
    <row r="31" spans="1:40" s="105" customFormat="1" ht="11.25" x14ac:dyDescent="0.2">
      <c r="A31" s="190"/>
      <c r="B31" s="199">
        <v>43345</v>
      </c>
      <c r="C31" s="202">
        <v>43346</v>
      </c>
      <c r="D31" s="202">
        <v>43347</v>
      </c>
      <c r="E31" s="205">
        <v>43348</v>
      </c>
      <c r="F31" s="202">
        <v>43349</v>
      </c>
      <c r="G31" s="202">
        <v>43350</v>
      </c>
      <c r="H31" s="199">
        <v>43351</v>
      </c>
      <c r="I31" s="193"/>
      <c r="J31" s="197">
        <v>19</v>
      </c>
      <c r="K31" s="198" t="s">
        <v>208</v>
      </c>
      <c r="L31" s="193"/>
      <c r="M31" s="199">
        <v>43527</v>
      </c>
      <c r="N31" s="202">
        <v>43528</v>
      </c>
      <c r="O31" s="202">
        <v>43529</v>
      </c>
      <c r="P31" s="202">
        <v>43530</v>
      </c>
      <c r="Q31" s="205">
        <v>43531</v>
      </c>
      <c r="R31" s="205">
        <v>43532</v>
      </c>
      <c r="S31" s="199">
        <v>43533</v>
      </c>
      <c r="T31" s="193"/>
      <c r="U31" s="228">
        <v>20</v>
      </c>
      <c r="V31" s="198" t="s">
        <v>208</v>
      </c>
      <c r="W31" s="190"/>
      <c r="X31" s="190"/>
      <c r="Y31" s="223"/>
      <c r="Z31" s="190"/>
      <c r="AA31" s="190"/>
    </row>
    <row r="32" spans="1:40" s="106" customFormat="1" ht="13.5" customHeight="1" x14ac:dyDescent="0.3">
      <c r="A32" s="191"/>
      <c r="B32" s="199">
        <v>43352</v>
      </c>
      <c r="C32" s="202">
        <v>43353</v>
      </c>
      <c r="D32" s="201">
        <v>43354</v>
      </c>
      <c r="E32" s="202">
        <v>43355</v>
      </c>
      <c r="F32" s="202">
        <v>43356</v>
      </c>
      <c r="G32" s="202">
        <v>43357</v>
      </c>
      <c r="H32" s="199">
        <v>43358</v>
      </c>
      <c r="I32" s="193"/>
      <c r="J32" s="203">
        <v>25</v>
      </c>
      <c r="K32" s="204" t="s">
        <v>153</v>
      </c>
      <c r="L32" s="193"/>
      <c r="M32" s="199">
        <v>43534</v>
      </c>
      <c r="N32" s="202">
        <v>43535</v>
      </c>
      <c r="O32" s="201">
        <v>43536</v>
      </c>
      <c r="P32" s="202">
        <v>43537</v>
      </c>
      <c r="Q32" s="202">
        <v>43538</v>
      </c>
      <c r="R32" s="202">
        <v>43539</v>
      </c>
      <c r="S32" s="199">
        <v>43540</v>
      </c>
      <c r="T32" s="193"/>
      <c r="U32" s="203">
        <v>26</v>
      </c>
      <c r="V32" s="204" t="s">
        <v>153</v>
      </c>
      <c r="W32" s="191"/>
      <c r="X32" s="191"/>
      <c r="Y32" s="191"/>
      <c r="Z32" s="191"/>
      <c r="AA32" s="190"/>
      <c r="AB32" s="105"/>
    </row>
    <row r="33" spans="1:28" s="105" customFormat="1" ht="13.5" x14ac:dyDescent="0.3">
      <c r="A33" s="190"/>
      <c r="B33" s="199">
        <v>43359</v>
      </c>
      <c r="C33" s="202">
        <v>43360</v>
      </c>
      <c r="D33" s="202">
        <v>43361</v>
      </c>
      <c r="E33" s="205">
        <v>43362</v>
      </c>
      <c r="F33" s="202">
        <v>43363</v>
      </c>
      <c r="G33" s="202">
        <v>43364</v>
      </c>
      <c r="H33" s="229">
        <v>43365</v>
      </c>
      <c r="I33" s="193"/>
      <c r="J33" s="210">
        <v>28</v>
      </c>
      <c r="K33" s="230" t="s">
        <v>233</v>
      </c>
      <c r="L33" s="193"/>
      <c r="M33" s="199">
        <v>43541</v>
      </c>
      <c r="N33" s="202">
        <v>43542</v>
      </c>
      <c r="O33" s="202">
        <v>43543</v>
      </c>
      <c r="P33" s="205">
        <v>43544</v>
      </c>
      <c r="Q33" s="202">
        <v>43545</v>
      </c>
      <c r="R33" s="202">
        <v>43546</v>
      </c>
      <c r="S33" s="199">
        <v>43547</v>
      </c>
      <c r="T33" s="209"/>
      <c r="U33" s="210">
        <v>30</v>
      </c>
      <c r="V33" s="230" t="s">
        <v>235</v>
      </c>
      <c r="W33" s="190"/>
      <c r="X33" s="190"/>
      <c r="Y33" s="190"/>
      <c r="Z33" s="190"/>
      <c r="AA33" s="191"/>
    </row>
    <row r="34" spans="1:28" s="105" customFormat="1" ht="11.25" x14ac:dyDescent="0.2">
      <c r="A34" s="190"/>
      <c r="B34" s="199">
        <v>43366</v>
      </c>
      <c r="C34" s="202">
        <v>43367</v>
      </c>
      <c r="D34" s="201">
        <v>43368</v>
      </c>
      <c r="E34" s="202">
        <v>43369</v>
      </c>
      <c r="F34" s="202">
        <v>43370</v>
      </c>
      <c r="G34" s="200">
        <v>43371</v>
      </c>
      <c r="H34" s="199">
        <v>43372</v>
      </c>
      <c r="I34" s="193"/>
      <c r="J34" s="231"/>
      <c r="K34" s="232"/>
      <c r="L34" s="193"/>
      <c r="M34" s="199">
        <v>43548</v>
      </c>
      <c r="N34" s="202">
        <v>43549</v>
      </c>
      <c r="O34" s="201">
        <v>43550</v>
      </c>
      <c r="P34" s="202">
        <v>43551</v>
      </c>
      <c r="Q34" s="202">
        <v>43552</v>
      </c>
      <c r="R34" s="202">
        <v>43553</v>
      </c>
      <c r="S34" s="199">
        <v>43554</v>
      </c>
      <c r="T34" s="193"/>
      <c r="U34" s="233" t="s">
        <v>220</v>
      </c>
      <c r="V34" s="233"/>
      <c r="W34" s="190"/>
      <c r="X34" s="190"/>
      <c r="Y34" s="190"/>
      <c r="Z34" s="190"/>
      <c r="AA34" s="190"/>
    </row>
    <row r="35" spans="1:28" s="105" customFormat="1" ht="2.25" customHeight="1" x14ac:dyDescent="0.3">
      <c r="A35" s="190"/>
      <c r="B35" s="199">
        <v>43373</v>
      </c>
      <c r="C35" s="202" t="str">
        <v/>
      </c>
      <c r="D35" s="202" t="str">
        <v/>
      </c>
      <c r="E35" s="202" t="str">
        <v/>
      </c>
      <c r="F35" s="202" t="str">
        <v/>
      </c>
      <c r="G35" s="202" t="str">
        <v/>
      </c>
      <c r="H35" s="199" t="str">
        <v/>
      </c>
      <c r="I35" s="193"/>
      <c r="J35" s="220"/>
      <c r="K35" s="209"/>
      <c r="L35" s="193"/>
      <c r="M35" s="199">
        <v>43555</v>
      </c>
      <c r="N35" s="202" t="str">
        <v/>
      </c>
      <c r="O35" s="202" t="str">
        <v/>
      </c>
      <c r="P35" s="202" t="str">
        <v/>
      </c>
      <c r="Q35" s="202" t="str">
        <v/>
      </c>
      <c r="R35" s="202" t="str">
        <v/>
      </c>
      <c r="S35" s="199" t="str">
        <v/>
      </c>
      <c r="T35" s="193"/>
      <c r="U35" s="190"/>
      <c r="V35" s="190"/>
      <c r="W35" s="190"/>
      <c r="X35" s="190"/>
      <c r="Y35" s="408"/>
      <c r="Z35" s="191"/>
      <c r="AA35" s="190"/>
      <c r="AB35" s="106"/>
    </row>
    <row r="36" spans="1:28" s="105" customFormat="1" ht="5.25" customHeight="1" x14ac:dyDescent="0.2">
      <c r="A36" s="190"/>
      <c r="B36" s="193"/>
      <c r="C36" s="193"/>
      <c r="D36" s="193"/>
      <c r="E36" s="193"/>
      <c r="F36" s="193"/>
      <c r="G36" s="193"/>
      <c r="H36" s="193"/>
      <c r="I36" s="193"/>
      <c r="J36" s="190"/>
      <c r="K36" s="190"/>
      <c r="L36" s="193"/>
      <c r="M36" s="193"/>
      <c r="N36" s="193"/>
      <c r="O36" s="193"/>
      <c r="P36" s="193"/>
      <c r="Q36" s="193"/>
      <c r="R36" s="193"/>
      <c r="S36" s="193"/>
      <c r="T36" s="193"/>
      <c r="U36" s="193"/>
      <c r="V36" s="193"/>
      <c r="W36" s="190"/>
      <c r="X36" s="190"/>
      <c r="Y36" s="408"/>
      <c r="Z36" s="190"/>
      <c r="AA36" s="190"/>
    </row>
    <row r="37" spans="1:28" s="105" customFormat="1" ht="11.25" x14ac:dyDescent="0.2">
      <c r="A37" s="190"/>
      <c r="B37" s="409">
        <f>DATE(year,10,1)</f>
        <v>43374</v>
      </c>
      <c r="C37" s="410"/>
      <c r="D37" s="410"/>
      <c r="E37" s="410"/>
      <c r="F37" s="410"/>
      <c r="G37" s="410"/>
      <c r="H37" s="410"/>
      <c r="I37" s="193"/>
      <c r="J37" s="411" t="s">
        <v>159</v>
      </c>
      <c r="K37" s="411"/>
      <c r="L37" s="193"/>
      <c r="M37" s="409">
        <f>DATE(year+1,4,1)</f>
        <v>43556</v>
      </c>
      <c r="N37" s="410"/>
      <c r="O37" s="410"/>
      <c r="P37" s="410"/>
      <c r="Q37" s="410"/>
      <c r="R37" s="410"/>
      <c r="S37" s="410"/>
      <c r="T37" s="193"/>
      <c r="U37" s="411" t="s">
        <v>160</v>
      </c>
      <c r="V37" s="411"/>
      <c r="W37" s="190"/>
      <c r="X37" s="190"/>
      <c r="Y37" s="408"/>
      <c r="Z37" s="190"/>
      <c r="AA37" s="190"/>
    </row>
    <row r="38" spans="1:28" s="105" customFormat="1" ht="11.25" x14ac:dyDescent="0.2">
      <c r="A38" s="190"/>
      <c r="B38" s="195" t="str">
        <f>IF(startday=1,INDEX(weekDayNames,1),INDEX(weekDayNames,2))</f>
        <v>Su</v>
      </c>
      <c r="C38" s="196" t="str">
        <f>IF(startday=1,INDEX(weekDayNames,2),INDEX(weekDayNames,3))</f>
        <v>M</v>
      </c>
      <c r="D38" s="196" t="str">
        <f>IF(startday=1,INDEX(weekDayNames,3),INDEX(weekDayNames,4))</f>
        <v>Tu</v>
      </c>
      <c r="E38" s="196" t="str">
        <f>IF(startday=1,INDEX(weekDayNames,4),INDEX(weekDayNames,5))</f>
        <v>W</v>
      </c>
      <c r="F38" s="196" t="str">
        <f>IF(startday=1,INDEX(weekDayNames,5),INDEX(weekDayNames,6))</f>
        <v>Th</v>
      </c>
      <c r="G38" s="196" t="str">
        <f>IF(startday=1,INDEX(weekDayNames,6),INDEX(weekDayNames,7))</f>
        <v>F</v>
      </c>
      <c r="H38" s="195" t="str">
        <f>IF(startday=1,INDEX(weekDayNames,7),INDEX(weekDayNames,1))</f>
        <v>Sa</v>
      </c>
      <c r="I38" s="193"/>
      <c r="J38" s="197">
        <v>3</v>
      </c>
      <c r="K38" s="198" t="s">
        <v>208</v>
      </c>
      <c r="L38" s="190"/>
      <c r="M38" s="195" t="str">
        <f>IF(startday=1,INDEX(weekDayNames,1),INDEX(weekDayNames,2))</f>
        <v>Su</v>
      </c>
      <c r="N38" s="196" t="str">
        <f>IF(startday=1,INDEX(weekDayNames,2),INDEX(weekDayNames,3))</f>
        <v>M</v>
      </c>
      <c r="O38" s="196" t="str">
        <f>IF(startday=1,INDEX(weekDayNames,3),INDEX(weekDayNames,4))</f>
        <v>Tu</v>
      </c>
      <c r="P38" s="196" t="str">
        <f>IF(startday=1,INDEX(weekDayNames,4),INDEX(weekDayNames,5))</f>
        <v>W</v>
      </c>
      <c r="Q38" s="196" t="str">
        <f>IF(startday=1,INDEX(weekDayNames,5),INDEX(weekDayNames,6))</f>
        <v>Th</v>
      </c>
      <c r="R38" s="196" t="str">
        <f>IF(startday=1,INDEX(weekDayNames,6),INDEX(weekDayNames,7))</f>
        <v>F</v>
      </c>
      <c r="S38" s="195" t="str">
        <f>IF(startday=1,INDEX(weekDayNames,7),INDEX(weekDayNames,1))</f>
        <v>Sa</v>
      </c>
      <c r="T38" s="193"/>
      <c r="U38" s="197">
        <v>3</v>
      </c>
      <c r="V38" s="198" t="s">
        <v>208</v>
      </c>
      <c r="W38" s="190"/>
      <c r="X38" s="190"/>
      <c r="Y38" s="408"/>
      <c r="Z38" s="190"/>
      <c r="AA38" s="190"/>
    </row>
    <row r="39" spans="1:28" s="105" customFormat="1" ht="13.5" x14ac:dyDescent="0.3">
      <c r="A39" s="190"/>
      <c r="B39" s="199" t="str">
        <f t="array" ref="B39:H44">IF(MONTH(B37)&lt;&gt;MONTH(DATE(YEAR(B37),MONTH(B37),1)-WEEKDAY(DATE(YEAR(B37),MONTH(B37),1),startday)+(WeekNo-1)*7+WeekDay),"",DATE(YEAR(B37),MONTH(B37),1)-WEEKDAY(DATE(YEAR(B37),MONTH(B37),1),startday)+(WeekNo-1)*7+WeekDay)</f>
        <v/>
      </c>
      <c r="C39" s="202">
        <v>43374</v>
      </c>
      <c r="D39" s="202">
        <v>43375</v>
      </c>
      <c r="E39" s="205">
        <v>43376</v>
      </c>
      <c r="F39" s="213">
        <v>43377</v>
      </c>
      <c r="G39" s="202">
        <v>43378</v>
      </c>
      <c r="H39" s="199">
        <v>43379</v>
      </c>
      <c r="I39" s="209"/>
      <c r="J39" s="203">
        <v>9</v>
      </c>
      <c r="K39" s="204" t="s">
        <v>153</v>
      </c>
      <c r="L39" s="190"/>
      <c r="M39" s="199" t="str">
        <f t="array" ref="M39:S44">IF(MONTH(M37)&lt;&gt;MONTH(DATE(YEAR(M37),MONTH(M37),1)-WEEKDAY(DATE(YEAR(M37),MONTH(M37),1),startday)+(WeekNo-1)*7+WeekDay),"",DATE(YEAR(M37),MONTH(M37),1)-WEEKDAY(DATE(YEAR(M37),MONTH(M37),1),startday)+(WeekNo-1)*7+WeekDay)</f>
        <v/>
      </c>
      <c r="N39" s="202">
        <v>43556</v>
      </c>
      <c r="O39" s="202">
        <v>43557</v>
      </c>
      <c r="P39" s="205">
        <v>43558</v>
      </c>
      <c r="Q39" s="202">
        <v>43559</v>
      </c>
      <c r="R39" s="202">
        <v>43560</v>
      </c>
      <c r="S39" s="199">
        <v>43561</v>
      </c>
      <c r="T39" s="193"/>
      <c r="U39" s="203">
        <v>9</v>
      </c>
      <c r="V39" s="204" t="s">
        <v>153</v>
      </c>
      <c r="W39" s="190"/>
      <c r="X39" s="190"/>
      <c r="Y39" s="408"/>
      <c r="Z39" s="190"/>
      <c r="AA39" s="191"/>
    </row>
    <row r="40" spans="1:28" s="105" customFormat="1" ht="11.25" x14ac:dyDescent="0.2">
      <c r="A40" s="190"/>
      <c r="B40" s="199">
        <v>43380</v>
      </c>
      <c r="C40" s="202">
        <v>43381</v>
      </c>
      <c r="D40" s="201">
        <v>43382</v>
      </c>
      <c r="E40" s="202">
        <v>43383</v>
      </c>
      <c r="F40" s="202">
        <v>43384</v>
      </c>
      <c r="G40" s="202">
        <v>43385</v>
      </c>
      <c r="H40" s="199">
        <v>43386</v>
      </c>
      <c r="I40" s="209"/>
      <c r="J40" s="197">
        <v>17</v>
      </c>
      <c r="K40" s="198" t="s">
        <v>208</v>
      </c>
      <c r="L40" s="193"/>
      <c r="M40" s="199">
        <v>43562</v>
      </c>
      <c r="N40" s="202">
        <v>43563</v>
      </c>
      <c r="O40" s="201">
        <v>43564</v>
      </c>
      <c r="P40" s="202">
        <v>43565</v>
      </c>
      <c r="Q40" s="202">
        <v>43566</v>
      </c>
      <c r="R40" s="202">
        <v>43567</v>
      </c>
      <c r="S40" s="199">
        <v>43568</v>
      </c>
      <c r="T40" s="193"/>
      <c r="U40" s="228">
        <v>17</v>
      </c>
      <c r="V40" s="198" t="s">
        <v>208</v>
      </c>
      <c r="W40" s="190"/>
      <c r="X40" s="190"/>
      <c r="Y40" s="223"/>
      <c r="Z40" s="190"/>
      <c r="AA40" s="190"/>
    </row>
    <row r="41" spans="1:28" s="106" customFormat="1" ht="13.5" customHeight="1" x14ac:dyDescent="0.3">
      <c r="A41" s="191"/>
      <c r="B41" s="234">
        <v>43387</v>
      </c>
      <c r="C41" s="213">
        <v>43388</v>
      </c>
      <c r="D41" s="213">
        <v>43389</v>
      </c>
      <c r="E41" s="205">
        <v>43390</v>
      </c>
      <c r="F41" s="201">
        <v>43391</v>
      </c>
      <c r="G41" s="201">
        <v>43392</v>
      </c>
      <c r="H41" s="235">
        <v>43393</v>
      </c>
      <c r="I41" s="193"/>
      <c r="J41" s="203" t="s">
        <v>221</v>
      </c>
      <c r="K41" s="190" t="s">
        <v>222</v>
      </c>
      <c r="L41" s="190"/>
      <c r="M41" s="199">
        <v>43569</v>
      </c>
      <c r="N41" s="202">
        <v>43570</v>
      </c>
      <c r="O41" s="202">
        <v>43571</v>
      </c>
      <c r="P41" s="205">
        <v>43572</v>
      </c>
      <c r="Q41" s="202">
        <v>43573</v>
      </c>
      <c r="R41" s="202">
        <v>43574</v>
      </c>
      <c r="S41" s="199">
        <v>43575</v>
      </c>
      <c r="T41" s="193"/>
      <c r="U41" s="203">
        <v>23</v>
      </c>
      <c r="V41" s="204" t="s">
        <v>153</v>
      </c>
      <c r="W41" s="191"/>
      <c r="X41" s="191"/>
      <c r="Y41" s="191"/>
      <c r="Z41" s="191"/>
      <c r="AA41" s="190"/>
      <c r="AB41" s="105"/>
    </row>
    <row r="42" spans="1:28" s="105" customFormat="1" ht="11.25" x14ac:dyDescent="0.2">
      <c r="A42" s="190"/>
      <c r="B42" s="199">
        <v>43394</v>
      </c>
      <c r="C42" s="202">
        <v>43395</v>
      </c>
      <c r="D42" s="202">
        <v>43396</v>
      </c>
      <c r="E42" s="202">
        <v>43397</v>
      </c>
      <c r="F42" s="202">
        <v>43398</v>
      </c>
      <c r="G42" s="202">
        <v>43399</v>
      </c>
      <c r="H42" s="199">
        <v>43400</v>
      </c>
      <c r="I42" s="193"/>
      <c r="J42" s="197">
        <v>31</v>
      </c>
      <c r="K42" s="198" t="s">
        <v>208</v>
      </c>
      <c r="L42" s="193"/>
      <c r="M42" s="199">
        <v>43576</v>
      </c>
      <c r="N42" s="202">
        <v>43577</v>
      </c>
      <c r="O42" s="201">
        <v>43578</v>
      </c>
      <c r="P42" s="202">
        <v>43579</v>
      </c>
      <c r="Q42" s="202">
        <v>43580</v>
      </c>
      <c r="R42" s="202">
        <v>43581</v>
      </c>
      <c r="S42" s="199">
        <v>43582</v>
      </c>
      <c r="T42" s="193"/>
      <c r="U42" s="236">
        <v>30</v>
      </c>
      <c r="V42" s="212" t="s">
        <v>223</v>
      </c>
      <c r="W42" s="190"/>
      <c r="X42" s="190"/>
      <c r="Y42" s="190"/>
      <c r="Z42" s="190"/>
      <c r="AA42" s="190"/>
    </row>
    <row r="43" spans="1:28" s="105" customFormat="1" ht="11.25" x14ac:dyDescent="0.2">
      <c r="A43" s="190"/>
      <c r="B43" s="199">
        <v>43401</v>
      </c>
      <c r="C43" s="202">
        <v>43402</v>
      </c>
      <c r="D43" s="202">
        <v>43403</v>
      </c>
      <c r="E43" s="200">
        <v>43404</v>
      </c>
      <c r="F43" s="202" t="str">
        <v/>
      </c>
      <c r="G43" s="215" t="str">
        <v/>
      </c>
      <c r="H43" s="199" t="str">
        <v/>
      </c>
      <c r="I43" s="193"/>
      <c r="J43" s="210">
        <v>31</v>
      </c>
      <c r="K43" s="212" t="s">
        <v>224</v>
      </c>
      <c r="L43" s="193"/>
      <c r="M43" s="199">
        <v>43583</v>
      </c>
      <c r="N43" s="202">
        <v>43584</v>
      </c>
      <c r="O43" s="236">
        <v>43585</v>
      </c>
      <c r="P43" s="202" t="str">
        <v/>
      </c>
      <c r="Q43" s="202" t="str">
        <v/>
      </c>
      <c r="R43" s="215" t="str">
        <v/>
      </c>
      <c r="S43" s="199" t="str">
        <v/>
      </c>
      <c r="T43" s="193"/>
      <c r="U43" s="237"/>
      <c r="V43" s="238"/>
      <c r="W43" s="190"/>
      <c r="X43" s="190"/>
      <c r="Y43" s="190"/>
      <c r="Z43" s="190"/>
      <c r="AA43" s="190"/>
    </row>
    <row r="44" spans="1:28" s="105" customFormat="1" ht="1.5" customHeight="1" x14ac:dyDescent="0.3">
      <c r="A44" s="190"/>
      <c r="B44" s="234" t="str">
        <v/>
      </c>
      <c r="C44" s="202" t="str">
        <v/>
      </c>
      <c r="D44" s="202" t="str">
        <v/>
      </c>
      <c r="E44" s="202" t="str">
        <v/>
      </c>
      <c r="F44" s="202" t="str">
        <v/>
      </c>
      <c r="G44" s="202" t="str">
        <v/>
      </c>
      <c r="H44" s="199" t="str">
        <v/>
      </c>
      <c r="I44" s="193"/>
      <c r="J44" s="212"/>
      <c r="K44" s="212"/>
      <c r="L44" s="193"/>
      <c r="M44" s="199" t="str">
        <v/>
      </c>
      <c r="N44" s="202" t="str">
        <v/>
      </c>
      <c r="O44" s="202" t="str">
        <v/>
      </c>
      <c r="P44" s="202" t="str">
        <v/>
      </c>
      <c r="Q44" s="202" t="str">
        <v/>
      </c>
      <c r="R44" s="202" t="str">
        <v/>
      </c>
      <c r="S44" s="199" t="str">
        <v/>
      </c>
      <c r="T44" s="193"/>
      <c r="U44" s="190"/>
      <c r="V44" s="190"/>
      <c r="W44" s="190"/>
      <c r="X44" s="190"/>
      <c r="Y44" s="190"/>
      <c r="Z44" s="190"/>
      <c r="AA44" s="190"/>
      <c r="AB44" s="106"/>
    </row>
    <row r="45" spans="1:28" s="105" customFormat="1" ht="5.25" customHeight="1" x14ac:dyDescent="0.2">
      <c r="A45" s="190"/>
      <c r="B45" s="193"/>
      <c r="C45" s="193"/>
      <c r="D45" s="193"/>
      <c r="E45" s="193"/>
      <c r="F45" s="193"/>
      <c r="G45" s="193"/>
      <c r="H45" s="193"/>
      <c r="I45" s="193"/>
      <c r="J45" s="190"/>
      <c r="K45" s="190"/>
      <c r="L45" s="193"/>
      <c r="M45" s="193"/>
      <c r="N45" s="193"/>
      <c r="O45" s="193"/>
      <c r="P45" s="193"/>
      <c r="Q45" s="193"/>
      <c r="R45" s="193"/>
      <c r="S45" s="193"/>
      <c r="T45" s="193"/>
      <c r="U45" s="190"/>
      <c r="V45" s="190"/>
      <c r="W45" s="190"/>
      <c r="X45" s="190"/>
      <c r="Y45" s="190"/>
      <c r="Z45" s="190"/>
      <c r="AA45" s="190"/>
    </row>
    <row r="46" spans="1:28" s="105" customFormat="1" ht="11.25" x14ac:dyDescent="0.2">
      <c r="A46" s="190"/>
      <c r="B46" s="409">
        <f>DATE(year,11,1)</f>
        <v>43405</v>
      </c>
      <c r="C46" s="410"/>
      <c r="D46" s="410"/>
      <c r="E46" s="410"/>
      <c r="F46" s="410"/>
      <c r="G46" s="410"/>
      <c r="H46" s="410"/>
      <c r="I46" s="193"/>
      <c r="J46" s="411" t="s">
        <v>161</v>
      </c>
      <c r="K46" s="411"/>
      <c r="L46" s="193"/>
      <c r="M46" s="409">
        <f>DATE(year+1,5,1)</f>
        <v>43586</v>
      </c>
      <c r="N46" s="410"/>
      <c r="O46" s="410"/>
      <c r="P46" s="410"/>
      <c r="Q46" s="410"/>
      <c r="R46" s="410"/>
      <c r="S46" s="410"/>
      <c r="T46" s="193"/>
      <c r="U46" s="411" t="s">
        <v>162</v>
      </c>
      <c r="V46" s="411"/>
      <c r="W46" s="190"/>
      <c r="X46" s="190"/>
      <c r="Y46" s="190"/>
      <c r="Z46" s="190"/>
      <c r="AA46" s="190"/>
    </row>
    <row r="47" spans="1:28" s="105" customFormat="1" ht="11.25" x14ac:dyDescent="0.2">
      <c r="A47" s="190"/>
      <c r="B47" s="195" t="str">
        <f>IF(startday=1,INDEX(weekDayNames,1),INDEX(weekDayNames,2))</f>
        <v>Su</v>
      </c>
      <c r="C47" s="196" t="str">
        <f>IF(startday=1,INDEX(weekDayNames,2),INDEX(weekDayNames,3))</f>
        <v>M</v>
      </c>
      <c r="D47" s="196" t="str">
        <f>IF(startday=1,INDEX(weekDayNames,3),INDEX(weekDayNames,4))</f>
        <v>Tu</v>
      </c>
      <c r="E47" s="196" t="str">
        <f>IF(startday=1,INDEX(weekDayNames,4),INDEX(weekDayNames,5))</f>
        <v>W</v>
      </c>
      <c r="F47" s="196" t="str">
        <f>IF(startday=1,INDEX(weekDayNames,5),INDEX(weekDayNames,6))</f>
        <v>Th</v>
      </c>
      <c r="G47" s="196" t="str">
        <f>IF(startday=1,INDEX(weekDayNames,6),INDEX(weekDayNames,7))</f>
        <v>F</v>
      </c>
      <c r="H47" s="195" t="str">
        <f>IF(startday=1,INDEX(weekDayNames,7),INDEX(weekDayNames,1))</f>
        <v>Sa</v>
      </c>
      <c r="I47" s="193"/>
      <c r="J47" s="239">
        <v>1</v>
      </c>
      <c r="K47" s="240" t="s">
        <v>225</v>
      </c>
      <c r="L47" s="193"/>
      <c r="M47" s="195" t="str">
        <f>IF(startday=1,INDEX(weekDayNames,1),INDEX(weekDayNames,2))</f>
        <v>Su</v>
      </c>
      <c r="N47" s="196" t="str">
        <f>IF(startday=1,INDEX(weekDayNames,2),INDEX(weekDayNames,3))</f>
        <v>M</v>
      </c>
      <c r="O47" s="196" t="str">
        <f>IF(startday=1,INDEX(weekDayNames,3),INDEX(weekDayNames,4))</f>
        <v>Tu</v>
      </c>
      <c r="P47" s="196" t="str">
        <f>IF(startday=1,INDEX(weekDayNames,4),INDEX(weekDayNames,5))</f>
        <v>W</v>
      </c>
      <c r="Q47" s="196" t="str">
        <f>IF(startday=1,INDEX(weekDayNames,5),INDEX(weekDayNames,6))</f>
        <v>Th</v>
      </c>
      <c r="R47" s="196" t="str">
        <f>IF(startday=1,INDEX(weekDayNames,6),INDEX(weekDayNames,7))</f>
        <v>F</v>
      </c>
      <c r="S47" s="195" t="str">
        <f>IF(startday=1,INDEX(weekDayNames,7),INDEX(weekDayNames,1))</f>
        <v>Sa</v>
      </c>
      <c r="T47" s="193"/>
      <c r="U47" s="241">
        <v>1</v>
      </c>
      <c r="V47" s="242" t="s">
        <v>163</v>
      </c>
      <c r="W47" s="190"/>
      <c r="X47" s="190"/>
      <c r="Y47" s="190"/>
      <c r="Z47" s="190"/>
      <c r="AA47" s="190"/>
    </row>
    <row r="48" spans="1:28" s="105" customFormat="1" ht="12" customHeight="1" x14ac:dyDescent="0.2">
      <c r="A48" s="190"/>
      <c r="B48" s="199" t="str">
        <f t="array" ref="B48:H53">IF(MONTH(B46)&lt;&gt;MONTH(DATE(YEAR(B46),MONTH(B46),1)-WEEKDAY(DATE(YEAR(B46),MONTH(B46),1),startday)+(WeekNo-1)*7+WeekDay),"",DATE(YEAR(B46),MONTH(B46),1)-WEEKDAY(DATE(YEAR(B46),MONTH(B46),1),startday)+(WeekNo-1)*7+WeekDay)</f>
        <v/>
      </c>
      <c r="C48" s="202" t="str">
        <v/>
      </c>
      <c r="D48" s="243" t="str">
        <v/>
      </c>
      <c r="E48" s="201" t="str">
        <v/>
      </c>
      <c r="F48" s="201">
        <v>43405</v>
      </c>
      <c r="G48" s="202">
        <v>43406</v>
      </c>
      <c r="H48" s="199">
        <v>43407</v>
      </c>
      <c r="I48" s="193"/>
      <c r="J48" s="239">
        <v>1</v>
      </c>
      <c r="K48" s="240" t="s">
        <v>226</v>
      </c>
      <c r="L48" s="193"/>
      <c r="M48" s="199" t="str">
        <f t="array" ref="M48:S53">IF(MONTH(M46)&lt;&gt;MONTH(DATE(YEAR(M46),MONTH(M46),1)-WEEKDAY(DATE(YEAR(M46),MONTH(M46),1),startday)+(WeekNo-1)*7+WeekDay),"",DATE(YEAR(M46),MONTH(M46),1)-WEEKDAY(DATE(YEAR(M46),MONTH(M46),1),startday)+(WeekNo-1)*7+WeekDay)</f>
        <v/>
      </c>
      <c r="N48" s="244" t="str">
        <v/>
      </c>
      <c r="O48" s="201" t="str">
        <v/>
      </c>
      <c r="P48" s="201">
        <v>43586</v>
      </c>
      <c r="Q48" s="202">
        <v>43587</v>
      </c>
      <c r="R48" s="202">
        <v>43588</v>
      </c>
      <c r="S48" s="199">
        <v>43589</v>
      </c>
      <c r="T48" s="193"/>
      <c r="U48" s="222">
        <v>1</v>
      </c>
      <c r="V48" s="198" t="s">
        <v>208</v>
      </c>
      <c r="W48" s="190"/>
      <c r="X48" s="190"/>
      <c r="Y48" s="190"/>
      <c r="Z48" s="190"/>
      <c r="AA48" s="190"/>
    </row>
    <row r="49" spans="1:28" s="105" customFormat="1" ht="13.5" customHeight="1" x14ac:dyDescent="0.2">
      <c r="A49" s="190"/>
      <c r="B49" s="199">
        <v>43408</v>
      </c>
      <c r="C49" s="202">
        <v>43409</v>
      </c>
      <c r="D49" s="201">
        <v>43410</v>
      </c>
      <c r="E49" s="202">
        <v>43411</v>
      </c>
      <c r="F49" s="202">
        <v>43412</v>
      </c>
      <c r="G49" s="202">
        <v>43413</v>
      </c>
      <c r="H49" s="199">
        <v>43414</v>
      </c>
      <c r="I49" s="193"/>
      <c r="J49" s="203">
        <v>6</v>
      </c>
      <c r="K49" s="204" t="s">
        <v>153</v>
      </c>
      <c r="L49" s="193"/>
      <c r="M49" s="199">
        <v>43590</v>
      </c>
      <c r="N49" s="202">
        <v>43591</v>
      </c>
      <c r="O49" s="201">
        <v>43592</v>
      </c>
      <c r="P49" s="202">
        <v>43593</v>
      </c>
      <c r="Q49" s="202">
        <v>43594</v>
      </c>
      <c r="R49" s="202">
        <v>43595</v>
      </c>
      <c r="S49" s="199">
        <v>43596</v>
      </c>
      <c r="T49" s="193"/>
      <c r="U49" s="203">
        <v>7</v>
      </c>
      <c r="V49" s="204" t="s">
        <v>153</v>
      </c>
      <c r="W49" s="190"/>
      <c r="X49" s="190"/>
      <c r="Y49" s="226"/>
      <c r="Z49" s="190"/>
      <c r="AA49" s="190"/>
    </row>
    <row r="50" spans="1:28" s="106" customFormat="1" ht="13.5" x14ac:dyDescent="0.3">
      <c r="A50" s="191"/>
      <c r="B50" s="199">
        <v>43415</v>
      </c>
      <c r="C50" s="202">
        <v>43416</v>
      </c>
      <c r="D50" s="202">
        <v>43417</v>
      </c>
      <c r="E50" s="205">
        <v>43418</v>
      </c>
      <c r="F50" s="202">
        <v>43419</v>
      </c>
      <c r="G50" s="202">
        <v>43420</v>
      </c>
      <c r="H50" s="199">
        <v>43421</v>
      </c>
      <c r="I50" s="193"/>
      <c r="J50" s="221">
        <v>14</v>
      </c>
      <c r="K50" s="198" t="s">
        <v>208</v>
      </c>
      <c r="L50" s="193"/>
      <c r="M50" s="199">
        <v>43597</v>
      </c>
      <c r="N50" s="202">
        <v>43598</v>
      </c>
      <c r="O50" s="202">
        <v>43599</v>
      </c>
      <c r="P50" s="205">
        <v>43600</v>
      </c>
      <c r="Q50" s="202">
        <v>43601</v>
      </c>
      <c r="R50" s="202">
        <v>43602</v>
      </c>
      <c r="S50" s="199">
        <v>43603</v>
      </c>
      <c r="T50" s="193"/>
      <c r="U50" s="222">
        <v>15</v>
      </c>
      <c r="V50" s="198" t="s">
        <v>208</v>
      </c>
      <c r="W50" s="191"/>
      <c r="X50" s="191"/>
      <c r="Y50" s="223"/>
      <c r="Z50" s="190"/>
      <c r="AA50" s="190"/>
      <c r="AB50" s="105"/>
    </row>
    <row r="51" spans="1:28" s="105" customFormat="1" ht="13.5" x14ac:dyDescent="0.3">
      <c r="A51" s="190"/>
      <c r="B51" s="199">
        <v>43422</v>
      </c>
      <c r="C51" s="202">
        <v>43423</v>
      </c>
      <c r="D51" s="201">
        <v>43424</v>
      </c>
      <c r="E51" s="202">
        <v>43425</v>
      </c>
      <c r="F51" s="202">
        <v>43426</v>
      </c>
      <c r="G51" s="202">
        <v>43427</v>
      </c>
      <c r="H51" s="199">
        <v>43428</v>
      </c>
      <c r="I51" s="193"/>
      <c r="J51" s="203">
        <v>20</v>
      </c>
      <c r="K51" s="204" t="s">
        <v>153</v>
      </c>
      <c r="L51" s="193"/>
      <c r="M51" s="199">
        <v>43604</v>
      </c>
      <c r="N51" s="202">
        <v>43605</v>
      </c>
      <c r="O51" s="201">
        <v>43606</v>
      </c>
      <c r="P51" s="202">
        <v>43607</v>
      </c>
      <c r="Q51" s="202">
        <v>43608</v>
      </c>
      <c r="R51" s="202">
        <v>43609</v>
      </c>
      <c r="S51" s="199">
        <v>43610</v>
      </c>
      <c r="T51" s="193"/>
      <c r="U51" s="203">
        <v>21</v>
      </c>
      <c r="V51" s="204" t="s">
        <v>153</v>
      </c>
      <c r="W51" s="190"/>
      <c r="X51" s="190"/>
      <c r="Y51" s="223"/>
      <c r="Z51" s="190"/>
      <c r="AA51" s="191"/>
    </row>
    <row r="52" spans="1:28" s="105" customFormat="1" ht="11.25" x14ac:dyDescent="0.2">
      <c r="A52" s="190"/>
      <c r="B52" s="199">
        <v>43429</v>
      </c>
      <c r="C52" s="202">
        <v>43430</v>
      </c>
      <c r="D52" s="202">
        <v>43431</v>
      </c>
      <c r="E52" s="205">
        <v>43432</v>
      </c>
      <c r="F52" s="202">
        <v>43433</v>
      </c>
      <c r="G52" s="202">
        <v>43434</v>
      </c>
      <c r="H52" s="199" t="str">
        <v/>
      </c>
      <c r="I52" s="193"/>
      <c r="J52" s="197">
        <v>28</v>
      </c>
      <c r="K52" s="198" t="s">
        <v>208</v>
      </c>
      <c r="L52" s="193"/>
      <c r="M52" s="199">
        <v>43611</v>
      </c>
      <c r="N52" s="202">
        <v>43612</v>
      </c>
      <c r="O52" s="202">
        <v>43613</v>
      </c>
      <c r="P52" s="205">
        <v>43614</v>
      </c>
      <c r="Q52" s="202">
        <v>43615</v>
      </c>
      <c r="R52" s="202">
        <v>43616</v>
      </c>
      <c r="S52" s="199" t="str">
        <v/>
      </c>
      <c r="T52" s="193"/>
      <c r="U52" s="222">
        <v>29</v>
      </c>
      <c r="V52" s="198" t="s">
        <v>208</v>
      </c>
      <c r="W52" s="190"/>
      <c r="X52" s="190"/>
      <c r="Y52" s="223"/>
      <c r="Z52" s="190"/>
      <c r="AA52" s="190"/>
    </row>
    <row r="53" spans="1:28" s="105" customFormat="1" ht="3.75" customHeight="1" x14ac:dyDescent="0.3">
      <c r="A53" s="190"/>
      <c r="B53" s="199" t="str">
        <v/>
      </c>
      <c r="C53" s="202" t="str">
        <v/>
      </c>
      <c r="D53" s="202" t="str">
        <v/>
      </c>
      <c r="E53" s="202" t="str">
        <v/>
      </c>
      <c r="F53" s="202" t="str">
        <v/>
      </c>
      <c r="G53" s="202" t="str">
        <v/>
      </c>
      <c r="H53" s="199" t="str">
        <v/>
      </c>
      <c r="I53" s="193"/>
      <c r="J53" s="245"/>
      <c r="K53" s="207"/>
      <c r="L53" s="193"/>
      <c r="M53" s="199" t="str">
        <v/>
      </c>
      <c r="N53" s="202" t="str">
        <v/>
      </c>
      <c r="O53" s="202" t="str">
        <v/>
      </c>
      <c r="P53" s="202" t="str">
        <v/>
      </c>
      <c r="Q53" s="202" t="str">
        <v/>
      </c>
      <c r="R53" s="202" t="str">
        <v/>
      </c>
      <c r="S53" s="199" t="str">
        <v/>
      </c>
      <c r="T53" s="193"/>
      <c r="U53" s="246"/>
      <c r="V53" s="193"/>
      <c r="W53" s="190"/>
      <c r="X53" s="190"/>
      <c r="Y53" s="247"/>
      <c r="Z53" s="191"/>
      <c r="AA53" s="190"/>
      <c r="AB53" s="106"/>
    </row>
    <row r="54" spans="1:28" s="105" customFormat="1" ht="5.25" customHeight="1" x14ac:dyDescent="0.3">
      <c r="A54" s="190"/>
      <c r="B54" s="193"/>
      <c r="C54" s="193"/>
      <c r="D54" s="193"/>
      <c r="E54" s="193"/>
      <c r="F54" s="193"/>
      <c r="G54" s="193"/>
      <c r="H54" s="193"/>
      <c r="I54" s="193"/>
      <c r="J54" s="190"/>
      <c r="K54" s="190"/>
      <c r="L54" s="193"/>
      <c r="M54" s="191"/>
      <c r="N54" s="191"/>
      <c r="O54" s="191"/>
      <c r="P54" s="191"/>
      <c r="Q54" s="191"/>
      <c r="R54" s="191"/>
      <c r="S54" s="191"/>
      <c r="T54" s="193"/>
      <c r="U54" s="191"/>
      <c r="V54" s="191"/>
      <c r="W54" s="190"/>
      <c r="X54" s="190"/>
      <c r="Y54" s="223"/>
      <c r="Z54" s="190"/>
      <c r="AA54" s="190"/>
    </row>
    <row r="55" spans="1:28" s="105" customFormat="1" ht="11.25" x14ac:dyDescent="0.2">
      <c r="A55" s="190"/>
      <c r="B55" s="409">
        <f>DATE(year,12,1)</f>
        <v>43435</v>
      </c>
      <c r="C55" s="410"/>
      <c r="D55" s="410"/>
      <c r="E55" s="410"/>
      <c r="F55" s="410"/>
      <c r="G55" s="410"/>
      <c r="H55" s="410"/>
      <c r="I55" s="193"/>
      <c r="J55" s="411" t="s">
        <v>164</v>
      </c>
      <c r="K55" s="411"/>
      <c r="L55" s="193"/>
      <c r="M55" s="409">
        <f>DATE(year+1,6,1)</f>
        <v>43617</v>
      </c>
      <c r="N55" s="410"/>
      <c r="O55" s="410"/>
      <c r="P55" s="410"/>
      <c r="Q55" s="410"/>
      <c r="R55" s="410"/>
      <c r="S55" s="410"/>
      <c r="T55" s="193"/>
      <c r="U55" s="411" t="s">
        <v>165</v>
      </c>
      <c r="V55" s="411"/>
      <c r="W55" s="190"/>
      <c r="X55" s="190"/>
      <c r="Y55" s="190"/>
      <c r="Z55" s="190"/>
      <c r="AA55" s="190"/>
    </row>
    <row r="56" spans="1:28" s="105" customFormat="1" ht="11.25" x14ac:dyDescent="0.2">
      <c r="A56" s="190"/>
      <c r="B56" s="195" t="str">
        <f>IF(startday=1,INDEX(weekDayNames,1),INDEX(weekDayNames,2))</f>
        <v>Su</v>
      </c>
      <c r="C56" s="196" t="str">
        <f>IF(startday=1,INDEX(weekDayNames,2),INDEX(weekDayNames,3))</f>
        <v>M</v>
      </c>
      <c r="D56" s="196" t="str">
        <f>IF(startday=1,INDEX(weekDayNames,3),INDEX(weekDayNames,4))</f>
        <v>Tu</v>
      </c>
      <c r="E56" s="196" t="str">
        <f>IF(startday=1,INDEX(weekDayNames,4),INDEX(weekDayNames,5))</f>
        <v>W</v>
      </c>
      <c r="F56" s="196" t="str">
        <f>IF(startday=1,INDEX(weekDayNames,5),INDEX(weekDayNames,6))</f>
        <v>Th</v>
      </c>
      <c r="G56" s="196" t="str">
        <f>IF(startday=1,INDEX(weekDayNames,6),INDEX(weekDayNames,7))</f>
        <v>F</v>
      </c>
      <c r="H56" s="195" t="str">
        <f>IF(startday=1,INDEX(weekDayNames,7),INDEX(weekDayNames,1))</f>
        <v>Sa</v>
      </c>
      <c r="I56" s="193"/>
      <c r="J56" s="203">
        <v>4</v>
      </c>
      <c r="K56" s="204" t="s">
        <v>153</v>
      </c>
      <c r="L56" s="193"/>
      <c r="M56" s="195" t="str">
        <f>IF(startday=1,INDEX(weekDayNames,1),INDEX(weekDayNames,2))</f>
        <v>Su</v>
      </c>
      <c r="N56" s="196" t="str">
        <f>IF(startday=1,INDEX(weekDayNames,2),INDEX(weekDayNames,3))</f>
        <v>M</v>
      </c>
      <c r="O56" s="196" t="str">
        <f>IF(startday=1,INDEX(weekDayNames,3),INDEX(weekDayNames,4))</f>
        <v>Tu</v>
      </c>
      <c r="P56" s="196" t="str">
        <f>IF(startday=1,INDEX(weekDayNames,4),INDEX(weekDayNames,5))</f>
        <v>W</v>
      </c>
      <c r="Q56" s="196" t="str">
        <f>IF(startday=1,INDEX(weekDayNames,5),INDEX(weekDayNames,6))</f>
        <v>Th</v>
      </c>
      <c r="R56" s="196" t="str">
        <f>IF(startday=1,INDEX(weekDayNames,6),INDEX(weekDayNames,7))</f>
        <v>F</v>
      </c>
      <c r="S56" s="195" t="str">
        <f>IF(startday=1,INDEX(weekDayNames,7),INDEX(weekDayNames,1))</f>
        <v>Sa</v>
      </c>
      <c r="T56" s="193"/>
      <c r="U56" s="203">
        <v>4</v>
      </c>
      <c r="V56" s="204" t="s">
        <v>153</v>
      </c>
      <c r="W56" s="190"/>
      <c r="X56" s="190"/>
      <c r="Y56" s="190"/>
      <c r="Z56" s="190"/>
      <c r="AA56" s="190"/>
    </row>
    <row r="57" spans="1:28" s="105" customFormat="1" ht="11.25" x14ac:dyDescent="0.2">
      <c r="A57" s="190"/>
      <c r="B57" s="199" t="str">
        <f t="array" ref="B57:H62">IF(MONTH(B55)&lt;&gt;MONTH(DATE(YEAR(B55),MONTH(B55),1)-WEEKDAY(DATE(YEAR(B55),MONTH(B55),1),startday)+(WeekNo-1)*7+WeekDay),"",DATE(YEAR(B55),MONTH(B55),1)-WEEKDAY(DATE(YEAR(B55),MONTH(B55),1),startday)+(WeekNo-1)*7+WeekDay)</f>
        <v/>
      </c>
      <c r="C57" s="202" t="str">
        <v/>
      </c>
      <c r="D57" s="202" t="str">
        <v/>
      </c>
      <c r="E57" s="202" t="str">
        <v/>
      </c>
      <c r="F57" s="215" t="str">
        <v/>
      </c>
      <c r="G57" s="202" t="str">
        <v/>
      </c>
      <c r="H57" s="199">
        <v>43435</v>
      </c>
      <c r="I57" s="193"/>
      <c r="J57" s="197">
        <v>12</v>
      </c>
      <c r="K57" s="198" t="s">
        <v>208</v>
      </c>
      <c r="L57" s="193"/>
      <c r="M57" s="199" t="str">
        <f t="array" ref="M57:S62">IF(MONTH(M55)&lt;&gt;MONTH(DATE(YEAR(M55),MONTH(M55),1)-WEEKDAY(DATE(YEAR(M55),MONTH(M55),1),startday)+(WeekNo-1)*7+WeekDay),"",DATE(YEAR(M55),MONTH(M55),1)-WEEKDAY(DATE(YEAR(M55),MONTH(M55),1),startday)+(WeekNo-1)*7+WeekDay)</f>
        <v/>
      </c>
      <c r="N57" s="202" t="str">
        <v/>
      </c>
      <c r="O57" s="202" t="str">
        <v/>
      </c>
      <c r="P57" s="202" t="str">
        <v/>
      </c>
      <c r="Q57" s="202" t="str">
        <v/>
      </c>
      <c r="R57" s="202" t="str">
        <v/>
      </c>
      <c r="S57" s="199">
        <v>43617</v>
      </c>
      <c r="T57" s="193"/>
      <c r="U57" s="222">
        <v>12</v>
      </c>
      <c r="V57" s="198" t="s">
        <v>208</v>
      </c>
      <c r="W57" s="190"/>
      <c r="X57" s="190"/>
      <c r="Y57" s="190"/>
      <c r="Z57" s="190"/>
      <c r="AA57" s="190"/>
    </row>
    <row r="58" spans="1:28" s="105" customFormat="1" ht="11.25" x14ac:dyDescent="0.2">
      <c r="A58" s="190"/>
      <c r="B58" s="199">
        <v>43436</v>
      </c>
      <c r="C58" s="202">
        <v>43437</v>
      </c>
      <c r="D58" s="201">
        <v>43438</v>
      </c>
      <c r="E58" s="202">
        <v>43439</v>
      </c>
      <c r="F58" s="202">
        <v>43440</v>
      </c>
      <c r="G58" s="202">
        <v>43441</v>
      </c>
      <c r="H58" s="199">
        <v>43442</v>
      </c>
      <c r="I58" s="193"/>
      <c r="J58" s="203">
        <v>18</v>
      </c>
      <c r="K58" s="204" t="s">
        <v>153</v>
      </c>
      <c r="L58" s="193"/>
      <c r="M58" s="199">
        <v>43618</v>
      </c>
      <c r="N58" s="202">
        <v>43619</v>
      </c>
      <c r="O58" s="201">
        <v>43620</v>
      </c>
      <c r="P58" s="202">
        <v>43621</v>
      </c>
      <c r="Q58" s="202">
        <v>43622</v>
      </c>
      <c r="R58" s="202">
        <v>43623</v>
      </c>
      <c r="S58" s="199">
        <v>43624</v>
      </c>
      <c r="T58" s="193"/>
      <c r="U58" s="203">
        <v>18</v>
      </c>
      <c r="V58" s="204" t="s">
        <v>153</v>
      </c>
      <c r="W58" s="190"/>
      <c r="X58" s="190"/>
      <c r="Y58" s="190"/>
      <c r="Z58" s="190"/>
      <c r="AA58" s="190"/>
    </row>
    <row r="59" spans="1:28" s="105" customFormat="1" ht="12" customHeight="1" x14ac:dyDescent="0.2">
      <c r="A59" s="190"/>
      <c r="B59" s="199">
        <v>43443</v>
      </c>
      <c r="C59" s="202">
        <v>43444</v>
      </c>
      <c r="D59" s="202">
        <v>43445</v>
      </c>
      <c r="E59" s="205">
        <v>43446</v>
      </c>
      <c r="F59" s="202">
        <v>43447</v>
      </c>
      <c r="G59" s="202">
        <v>43448</v>
      </c>
      <c r="H59" s="199">
        <v>43449</v>
      </c>
      <c r="I59" s="193"/>
      <c r="J59" s="221">
        <v>26</v>
      </c>
      <c r="K59" s="198" t="s">
        <v>208</v>
      </c>
      <c r="L59" s="193"/>
      <c r="M59" s="199">
        <v>43625</v>
      </c>
      <c r="N59" s="202">
        <v>43626</v>
      </c>
      <c r="O59" s="202">
        <v>43627</v>
      </c>
      <c r="P59" s="205">
        <v>43628</v>
      </c>
      <c r="Q59" s="202">
        <v>43629</v>
      </c>
      <c r="R59" s="202">
        <v>43630</v>
      </c>
      <c r="S59" s="199">
        <v>43631</v>
      </c>
      <c r="T59" s="193"/>
      <c r="U59" s="222">
        <v>26</v>
      </c>
      <c r="V59" s="198" t="s">
        <v>208</v>
      </c>
      <c r="W59" s="190"/>
      <c r="X59" s="190"/>
      <c r="Y59" s="190"/>
      <c r="Z59" s="190"/>
      <c r="AA59" s="190"/>
    </row>
    <row r="60" spans="1:28" s="106" customFormat="1" ht="12" customHeight="1" x14ac:dyDescent="0.3">
      <c r="A60" s="191"/>
      <c r="B60" s="199">
        <v>43450</v>
      </c>
      <c r="C60" s="202">
        <v>43451</v>
      </c>
      <c r="D60" s="201">
        <v>43452</v>
      </c>
      <c r="E60" s="202">
        <v>43453</v>
      </c>
      <c r="F60" s="202">
        <v>43454</v>
      </c>
      <c r="G60" s="202">
        <v>43455</v>
      </c>
      <c r="H60" s="199">
        <v>43456</v>
      </c>
      <c r="I60" s="193"/>
      <c r="J60" s="210">
        <v>31</v>
      </c>
      <c r="K60" s="230" t="s">
        <v>234</v>
      </c>
      <c r="L60" s="193"/>
      <c r="M60" s="199">
        <v>43632</v>
      </c>
      <c r="N60" s="202">
        <v>43633</v>
      </c>
      <c r="O60" s="201">
        <v>43634</v>
      </c>
      <c r="P60" s="202">
        <v>43635</v>
      </c>
      <c r="Q60" s="202">
        <v>43636</v>
      </c>
      <c r="R60" s="202">
        <v>43637</v>
      </c>
      <c r="S60" s="199">
        <v>43638</v>
      </c>
      <c r="T60" s="193"/>
      <c r="U60" s="248">
        <v>28</v>
      </c>
      <c r="V60" s="249" t="s">
        <v>227</v>
      </c>
      <c r="W60" s="191"/>
      <c r="X60" s="191"/>
      <c r="Y60" s="190"/>
      <c r="Z60" s="190"/>
      <c r="AA60" s="190"/>
      <c r="AB60" s="105"/>
    </row>
    <row r="61" spans="1:28" s="105" customFormat="1" ht="11.25" customHeight="1" x14ac:dyDescent="0.3">
      <c r="A61" s="190"/>
      <c r="B61" s="199">
        <v>43457</v>
      </c>
      <c r="C61" s="202">
        <v>43458</v>
      </c>
      <c r="D61" s="202">
        <v>43459</v>
      </c>
      <c r="E61" s="205">
        <v>43460</v>
      </c>
      <c r="F61" s="202">
        <v>43461</v>
      </c>
      <c r="G61" s="202">
        <v>43462</v>
      </c>
      <c r="H61" s="199">
        <v>43463</v>
      </c>
      <c r="I61" s="193"/>
      <c r="J61" s="250">
        <v>31</v>
      </c>
      <c r="K61" s="251" t="s">
        <v>166</v>
      </c>
      <c r="L61" s="193"/>
      <c r="M61" s="199">
        <v>43639</v>
      </c>
      <c r="N61" s="202">
        <v>43640</v>
      </c>
      <c r="O61" s="202">
        <v>43641</v>
      </c>
      <c r="P61" s="205">
        <v>43642</v>
      </c>
      <c r="Q61" s="202">
        <v>43643</v>
      </c>
      <c r="R61" s="200">
        <v>43644</v>
      </c>
      <c r="S61" s="199">
        <v>43645</v>
      </c>
      <c r="T61" s="193"/>
      <c r="U61" s="252"/>
      <c r="V61" s="193"/>
      <c r="W61" s="190"/>
      <c r="X61" s="190"/>
      <c r="Y61" s="190"/>
      <c r="Z61" s="190"/>
      <c r="AA61" s="191"/>
    </row>
    <row r="62" spans="1:28" s="105" customFormat="1" ht="11.25" x14ac:dyDescent="0.2">
      <c r="A62" s="190"/>
      <c r="B62" s="199">
        <v>43464</v>
      </c>
      <c r="C62" s="201">
        <v>43465</v>
      </c>
      <c r="D62" s="202" t="str">
        <v/>
      </c>
      <c r="E62" s="202" t="str">
        <v/>
      </c>
      <c r="F62" s="202" t="str">
        <v/>
      </c>
      <c r="G62" s="202" t="str">
        <v/>
      </c>
      <c r="H62" s="199" t="str">
        <v/>
      </c>
      <c r="I62" s="193"/>
      <c r="J62" s="190"/>
      <c r="K62" s="190"/>
      <c r="L62" s="193"/>
      <c r="M62" s="199">
        <v>43646</v>
      </c>
      <c r="N62" s="202" t="str">
        <v/>
      </c>
      <c r="O62" s="202" t="str">
        <v/>
      </c>
      <c r="P62" s="205" t="str">
        <v/>
      </c>
      <c r="Q62" s="202" t="str">
        <v/>
      </c>
      <c r="R62" s="202" t="str">
        <v/>
      </c>
      <c r="S62" s="199" t="str">
        <v/>
      </c>
      <c r="T62" s="193"/>
      <c r="U62" s="252"/>
      <c r="V62" s="193"/>
      <c r="W62" s="190"/>
      <c r="X62" s="190"/>
      <c r="Y62" s="190"/>
      <c r="Z62" s="190"/>
      <c r="AA62" s="190"/>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5"/>
      <c r="M75" s="105"/>
    </row>
    <row r="76" spans="2:28" x14ac:dyDescent="0.2">
      <c r="K76" s="165"/>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Jeri Pullum</cp:lastModifiedBy>
  <dcterms:created xsi:type="dcterms:W3CDTF">2017-02-07T21:45:49Z</dcterms:created>
  <dcterms:modified xsi:type="dcterms:W3CDTF">2019-04-26T17:46:52Z</dcterms:modified>
</cp:coreProperties>
</file>