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stella.msu.montana.edu\Workforce\Montana Career Pathways\SMCP 19-20\19-20 Final MCP Grants\"/>
    </mc:Choice>
  </mc:AlternateContent>
  <xr:revisionPtr revIDLastSave="0" documentId="8_{EE00E41A-82F8-4FFA-8A6B-78E1C7DD74A4}" xr6:coauthVersionLast="45" xr6:coauthVersionMax="45" xr10:uidLastSave="{00000000-0000-0000-0000-000000000000}"/>
  <bookViews>
    <workbookView xWindow="-110" yWindow="-110" windowWidth="19420" windowHeight="10420"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Program Assurances" sheetId="21" r:id="rId6"/>
    <sheet name="19-20 Calendar" sheetId="28" r:id="rId7"/>
    <sheet name="Do Not Edit" sheetId="12" state="hidden" r:id="rId8"/>
  </sheets>
  <definedNames>
    <definedName name="Contracted">'Do Not Edit'!$D$1:$D$2</definedName>
    <definedName name="ContractedServices">'Do Not Edit'!$D$1:$D$2</definedName>
    <definedName name="monthNames" localSheetId="6">{"January","February","March","April","May","June","July","August","September","October","November","December"}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6">'19-20 Calendar'!$B$7:$V$64</definedName>
    <definedName name="Quarter">Narrative!$J$33:$J$37</definedName>
    <definedName name="Quarter_1">'Do Not Edit'!$B$1:$B$5</definedName>
    <definedName name="Quarter1">'Do Not Edit'!$B$1:$B$4</definedName>
    <definedName name="Quarters" localSheetId="6">#REF!</definedName>
    <definedName name="Quarters">#REF!</definedName>
    <definedName name="Salaries" localSheetId="6">#REF!</definedName>
    <definedName name="Salaries">#REF!</definedName>
    <definedName name="Salary">'Do Not Edit'!$C$1:$C$2</definedName>
    <definedName name="startday" localSheetId="6">'19-20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6">{1,2,3,4,5,6,7}</definedName>
    <definedName name="WeekDay">{1,2,3,4,5,6,7}</definedName>
    <definedName name="weekDayNames" localSheetId="6">{"Su";"M";"Tu";"W";"Th";"F";"Sa"}</definedName>
    <definedName name="weekDayNames">{"Su";"M";"Tu";"W";"Th";"F";"Sa"}</definedName>
    <definedName name="weekdays" localSheetId="6">{"Sunday";"Monday";"Tuesday";"Wednesday";"Thursday";"Friday";"Saturday"}</definedName>
    <definedName name="weekdays">{"Sunday";"Monday";"Tuesday";"Wednesday";"Thursday";"Friday";"Saturday"}</definedName>
    <definedName name="WeekNo" localSheetId="6">{1;2;3;4;5;6}</definedName>
    <definedName name="WeekNo">{1;2;3;4;5;6}</definedName>
    <definedName name="year" localSheetId="6">'19-20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1" i="6" l="1"/>
  <c r="R72" i="6" l="1"/>
  <c r="R32" i="6" l="1"/>
  <c r="R30" i="6"/>
  <c r="P69" i="6" l="1"/>
  <c r="P71" i="6"/>
  <c r="P66" i="6"/>
  <c r="P56" i="6"/>
  <c r="P43" i="6"/>
  <c r="P44" i="6" s="1"/>
  <c r="P32" i="6"/>
  <c r="P30" i="6"/>
  <c r="P34" i="6" s="1"/>
  <c r="P26" i="6"/>
  <c r="O66" i="6" l="1"/>
  <c r="O65" i="6"/>
  <c r="O43" i="6" l="1"/>
  <c r="O32" i="6"/>
  <c r="O30" i="6"/>
  <c r="S56" i="28" l="1"/>
  <c r="R56" i="28"/>
  <c r="Q56" i="28"/>
  <c r="P56" i="28"/>
  <c r="O56" i="28"/>
  <c r="N56" i="28"/>
  <c r="M56" i="28"/>
  <c r="H56" i="28"/>
  <c r="G56" i="28"/>
  <c r="F56" i="28"/>
  <c r="E56" i="28"/>
  <c r="D56" i="28"/>
  <c r="C56" i="28"/>
  <c r="B56" i="28"/>
  <c r="M55" i="28"/>
  <c r="M57" i="28" s="1" a="1"/>
  <c r="B55" i="28"/>
  <c r="B57" i="28" s="1" a="1"/>
  <c r="S47" i="28"/>
  <c r="R47" i="28"/>
  <c r="Q47" i="28"/>
  <c r="P47" i="28"/>
  <c r="O47" i="28"/>
  <c r="N47" i="28"/>
  <c r="M47" i="28"/>
  <c r="H47" i="28"/>
  <c r="G47" i="28"/>
  <c r="F47" i="28"/>
  <c r="E47" i="28"/>
  <c r="D47" i="28"/>
  <c r="C47" i="28"/>
  <c r="B47" i="28"/>
  <c r="M46" i="28"/>
  <c r="M48" i="28" s="1" a="1"/>
  <c r="B46" i="28"/>
  <c r="B48" i="28" s="1" a="1"/>
  <c r="S38" i="28"/>
  <c r="R38" i="28"/>
  <c r="Q38" i="28"/>
  <c r="P38" i="28"/>
  <c r="O38" i="28"/>
  <c r="N38" i="28"/>
  <c r="M38" i="28"/>
  <c r="H38" i="28"/>
  <c r="G38" i="28"/>
  <c r="F38" i="28"/>
  <c r="E38" i="28"/>
  <c r="D38" i="28"/>
  <c r="C38" i="28"/>
  <c r="B38" i="28"/>
  <c r="M37" i="28"/>
  <c r="M39" i="28" s="1" a="1"/>
  <c r="B37" i="28"/>
  <c r="B39" i="28" s="1" a="1"/>
  <c r="S29" i="28"/>
  <c r="R29" i="28"/>
  <c r="Q29" i="28"/>
  <c r="P29" i="28"/>
  <c r="O29" i="28"/>
  <c r="N29" i="28"/>
  <c r="M29" i="28"/>
  <c r="H29" i="28"/>
  <c r="G29" i="28"/>
  <c r="F29" i="28"/>
  <c r="E29" i="28"/>
  <c r="D29" i="28"/>
  <c r="C29" i="28"/>
  <c r="B29" i="28"/>
  <c r="M28" i="28"/>
  <c r="M30" i="28" s="1" a="1"/>
  <c r="B28" i="28"/>
  <c r="B30" i="28" s="1" a="1"/>
  <c r="S20" i="28"/>
  <c r="R20" i="28"/>
  <c r="Q20" i="28"/>
  <c r="P20" i="28"/>
  <c r="O20" i="28"/>
  <c r="N20" i="28"/>
  <c r="M20" i="28"/>
  <c r="H20" i="28"/>
  <c r="G20" i="28"/>
  <c r="F20" i="28"/>
  <c r="E20" i="28"/>
  <c r="D20" i="28"/>
  <c r="C20" i="28"/>
  <c r="B20" i="28"/>
  <c r="M19" i="28"/>
  <c r="M21" i="28" s="1" a="1"/>
  <c r="S26" i="28" s="1"/>
  <c r="B19" i="28"/>
  <c r="B21" i="28" s="1" a="1"/>
  <c r="S10" i="28"/>
  <c r="R10" i="28"/>
  <c r="Q10" i="28"/>
  <c r="P10" i="28"/>
  <c r="O10" i="28"/>
  <c r="N10" i="28"/>
  <c r="M10" i="28"/>
  <c r="H10" i="28"/>
  <c r="G10" i="28"/>
  <c r="F10" i="28"/>
  <c r="E10" i="28"/>
  <c r="D10" i="28"/>
  <c r="C10" i="28"/>
  <c r="B10" i="28"/>
  <c r="M9" i="28"/>
  <c r="M11" i="28" s="1" a="1"/>
  <c r="B9" i="28"/>
  <c r="B11" i="28" s="1" a="1"/>
  <c r="E35" i="28" l="1"/>
  <c r="D34" i="28"/>
  <c r="C33" i="28"/>
  <c r="B32" i="28"/>
  <c r="H30" i="28"/>
  <c r="D35" i="28"/>
  <c r="C34" i="28"/>
  <c r="B33" i="28"/>
  <c r="H31" i="28"/>
  <c r="G30" i="28"/>
  <c r="C35" i="28"/>
  <c r="B34" i="28"/>
  <c r="H32" i="28"/>
  <c r="G31" i="28"/>
  <c r="F30" i="28"/>
  <c r="B35" i="28"/>
  <c r="H33" i="28"/>
  <c r="G32" i="28"/>
  <c r="F31" i="28"/>
  <c r="E30" i="28"/>
  <c r="H34" i="28"/>
  <c r="G33" i="28"/>
  <c r="F32" i="28"/>
  <c r="E31" i="28"/>
  <c r="D30" i="28"/>
  <c r="E32" i="28"/>
  <c r="G35" i="28"/>
  <c r="F34" i="28"/>
  <c r="E33" i="28"/>
  <c r="D32" i="28"/>
  <c r="C31" i="28"/>
  <c r="B30" i="28"/>
  <c r="H35" i="28"/>
  <c r="G34" i="28"/>
  <c r="D31" i="28"/>
  <c r="C30" i="28"/>
  <c r="F35" i="28"/>
  <c r="E34" i="28"/>
  <c r="D33" i="28"/>
  <c r="C32" i="28"/>
  <c r="B31" i="28"/>
  <c r="F33" i="28"/>
  <c r="M35" i="28"/>
  <c r="S33" i="28"/>
  <c r="R32" i="28"/>
  <c r="Q31" i="28"/>
  <c r="P30" i="28"/>
  <c r="S30" i="28"/>
  <c r="S34" i="28"/>
  <c r="R33" i="28"/>
  <c r="Q32" i="28"/>
  <c r="P31" i="28"/>
  <c r="O30" i="28"/>
  <c r="S35" i="28"/>
  <c r="R34" i="28"/>
  <c r="Q33" i="28"/>
  <c r="P32" i="28"/>
  <c r="O31" i="28"/>
  <c r="N30" i="28"/>
  <c r="R35" i="28"/>
  <c r="Q34" i="28"/>
  <c r="P33" i="28"/>
  <c r="O32" i="28"/>
  <c r="N31" i="28"/>
  <c r="M30" i="28"/>
  <c r="Q35" i="28"/>
  <c r="P34" i="28"/>
  <c r="O33" i="28"/>
  <c r="N32" i="28"/>
  <c r="M31" i="28"/>
  <c r="N33" i="28"/>
  <c r="O35" i="28"/>
  <c r="N34" i="28"/>
  <c r="M33" i="28"/>
  <c r="S31" i="28"/>
  <c r="R30" i="28"/>
  <c r="P35" i="28"/>
  <c r="O34" i="28"/>
  <c r="M32" i="28"/>
  <c r="N35" i="28"/>
  <c r="M34" i="28"/>
  <c r="S32" i="28"/>
  <c r="R31" i="28"/>
  <c r="Q30" i="28"/>
  <c r="G44" i="28"/>
  <c r="F43" i="28"/>
  <c r="E42" i="28"/>
  <c r="D41" i="28"/>
  <c r="C40" i="28"/>
  <c r="B39" i="28"/>
  <c r="F44" i="28"/>
  <c r="E43" i="28"/>
  <c r="D42" i="28"/>
  <c r="C41" i="28"/>
  <c r="B40" i="28"/>
  <c r="B44" i="28"/>
  <c r="H42" i="28"/>
  <c r="F40" i="28"/>
  <c r="E39" i="28"/>
  <c r="E44" i="28"/>
  <c r="D43" i="28"/>
  <c r="C42" i="28"/>
  <c r="B41" i="28"/>
  <c r="H39" i="28"/>
  <c r="D44" i="28"/>
  <c r="C43" i="28"/>
  <c r="B42" i="28"/>
  <c r="H40" i="28"/>
  <c r="G39" i="28"/>
  <c r="G41" i="28"/>
  <c r="C44" i="28"/>
  <c r="B43" i="28"/>
  <c r="H41" i="28"/>
  <c r="G40" i="28"/>
  <c r="F39" i="28"/>
  <c r="H43" i="28"/>
  <c r="G42" i="28"/>
  <c r="F41" i="28"/>
  <c r="E40" i="28"/>
  <c r="D39" i="28"/>
  <c r="H44" i="28"/>
  <c r="G43" i="28"/>
  <c r="F42" i="28"/>
  <c r="E41" i="28"/>
  <c r="D40" i="28"/>
  <c r="C39" i="28"/>
  <c r="O44" i="28"/>
  <c r="N43" i="28"/>
  <c r="M42" i="28"/>
  <c r="S40" i="28"/>
  <c r="R39" i="28"/>
  <c r="N44" i="28"/>
  <c r="M43" i="28"/>
  <c r="S41" i="28"/>
  <c r="R40" i="28"/>
  <c r="Q39" i="28"/>
  <c r="Q43" i="28"/>
  <c r="P42" i="28"/>
  <c r="O41" i="28"/>
  <c r="N40" i="28"/>
  <c r="M44" i="28"/>
  <c r="S42" i="28"/>
  <c r="R41" i="28"/>
  <c r="Q40" i="28"/>
  <c r="P39" i="28"/>
  <c r="S43" i="28"/>
  <c r="R42" i="28"/>
  <c r="Q41" i="28"/>
  <c r="P40" i="28"/>
  <c r="O39" i="28"/>
  <c r="R44" i="28"/>
  <c r="M39" i="28"/>
  <c r="S44" i="28"/>
  <c r="R43" i="28"/>
  <c r="Q42" i="28"/>
  <c r="P41" i="28"/>
  <c r="O40" i="28"/>
  <c r="N39" i="28"/>
  <c r="Q44" i="28"/>
  <c r="P43" i="28"/>
  <c r="O42" i="28"/>
  <c r="N41" i="28"/>
  <c r="M40" i="28"/>
  <c r="P44" i="28"/>
  <c r="O43" i="28"/>
  <c r="N42" i="28"/>
  <c r="M41" i="28"/>
  <c r="S39" i="28"/>
  <c r="Q16" i="28"/>
  <c r="P15" i="28"/>
  <c r="O14" i="28"/>
  <c r="N13" i="28"/>
  <c r="M12" i="28"/>
  <c r="N15" i="28"/>
  <c r="S15" i="28"/>
  <c r="R14" i="28"/>
  <c r="Q13" i="28"/>
  <c r="P12" i="28"/>
  <c r="P16" i="28"/>
  <c r="O15" i="28"/>
  <c r="N14" i="28"/>
  <c r="M13" i="28"/>
  <c r="S11" i="28"/>
  <c r="N16" i="28"/>
  <c r="M15" i="28"/>
  <c r="S13" i="28"/>
  <c r="R12" i="28"/>
  <c r="Q11" i="28"/>
  <c r="O11" i="28"/>
  <c r="M16" i="28"/>
  <c r="S14" i="28"/>
  <c r="R13" i="28"/>
  <c r="Q12" i="28"/>
  <c r="P11" i="28"/>
  <c r="S16" i="28"/>
  <c r="R15" i="28"/>
  <c r="Q14" i="28"/>
  <c r="P13" i="28"/>
  <c r="O12" i="28"/>
  <c r="N11" i="28"/>
  <c r="O16" i="28"/>
  <c r="M14" i="28"/>
  <c r="S12" i="28"/>
  <c r="R11" i="28"/>
  <c r="R16" i="28"/>
  <c r="Q15" i="28"/>
  <c r="P14" i="28"/>
  <c r="O13" i="28"/>
  <c r="N12" i="28"/>
  <c r="M11" i="28"/>
  <c r="C62" i="28"/>
  <c r="B61" i="28"/>
  <c r="H59" i="28"/>
  <c r="G58" i="28"/>
  <c r="F57" i="28"/>
  <c r="B62" i="28"/>
  <c r="H60" i="28"/>
  <c r="G59" i="28"/>
  <c r="F58" i="28"/>
  <c r="E57" i="28"/>
  <c r="C59" i="28"/>
  <c r="H61" i="28"/>
  <c r="G60" i="28"/>
  <c r="F59" i="28"/>
  <c r="E58" i="28"/>
  <c r="D57" i="28"/>
  <c r="H62" i="28"/>
  <c r="G61" i="28"/>
  <c r="F60" i="28"/>
  <c r="E59" i="28"/>
  <c r="D58" i="28"/>
  <c r="C57" i="28"/>
  <c r="F62" i="28"/>
  <c r="B58" i="28"/>
  <c r="G62" i="28"/>
  <c r="F61" i="28"/>
  <c r="E60" i="28"/>
  <c r="D59" i="28"/>
  <c r="C58" i="28"/>
  <c r="B57" i="28"/>
  <c r="D60" i="28"/>
  <c r="E62" i="28"/>
  <c r="D61" i="28"/>
  <c r="C60" i="28"/>
  <c r="B59" i="28"/>
  <c r="H57" i="28"/>
  <c r="D62" i="28"/>
  <c r="C61" i="28"/>
  <c r="B60" i="28"/>
  <c r="H58" i="28"/>
  <c r="G57" i="28"/>
  <c r="E61" i="28"/>
  <c r="Q53" i="28"/>
  <c r="P52" i="28"/>
  <c r="O51" i="28"/>
  <c r="N50" i="28"/>
  <c r="M49" i="28"/>
  <c r="P53" i="28"/>
  <c r="O52" i="28"/>
  <c r="N51" i="28"/>
  <c r="M50" i="28"/>
  <c r="S48" i="28"/>
  <c r="O53" i="28"/>
  <c r="N52" i="28"/>
  <c r="M51" i="28"/>
  <c r="S49" i="28"/>
  <c r="R48" i="28"/>
  <c r="N53" i="28"/>
  <c r="M52" i="28"/>
  <c r="S50" i="28"/>
  <c r="R49" i="28"/>
  <c r="Q48" i="28"/>
  <c r="M53" i="28"/>
  <c r="S51" i="28"/>
  <c r="R50" i="28"/>
  <c r="Q49" i="28"/>
  <c r="P48" i="28"/>
  <c r="S52" i="28"/>
  <c r="R51" i="28"/>
  <c r="P49" i="28"/>
  <c r="O48" i="28"/>
  <c r="S53" i="28"/>
  <c r="R52" i="28"/>
  <c r="Q51" i="28"/>
  <c r="P50" i="28"/>
  <c r="O49" i="28"/>
  <c r="N48" i="28"/>
  <c r="Q50" i="28"/>
  <c r="R53" i="28"/>
  <c r="Q52" i="28"/>
  <c r="P51" i="28"/>
  <c r="O50" i="28"/>
  <c r="N49" i="28"/>
  <c r="M48" i="28"/>
  <c r="H52" i="28"/>
  <c r="G51" i="28"/>
  <c r="F50" i="28"/>
  <c r="E49" i="28"/>
  <c r="D48" i="28"/>
  <c r="H53" i="28"/>
  <c r="G52" i="28"/>
  <c r="F51" i="28"/>
  <c r="E50" i="28"/>
  <c r="D49" i="28"/>
  <c r="C48" i="28"/>
  <c r="D53" i="28"/>
  <c r="G48" i="28"/>
  <c r="G53" i="28"/>
  <c r="F52" i="28"/>
  <c r="E51" i="28"/>
  <c r="D50" i="28"/>
  <c r="C49" i="28"/>
  <c r="B48" i="28"/>
  <c r="F53" i="28"/>
  <c r="E52" i="28"/>
  <c r="D51" i="28"/>
  <c r="C50" i="28"/>
  <c r="B49" i="28"/>
  <c r="E53" i="28"/>
  <c r="D52" i="28"/>
  <c r="C51" i="28"/>
  <c r="B50" i="28"/>
  <c r="H48" i="28"/>
  <c r="C52" i="28"/>
  <c r="B51" i="28"/>
  <c r="H49" i="28"/>
  <c r="C53" i="28"/>
  <c r="B52" i="28"/>
  <c r="H50" i="28"/>
  <c r="G49" i="28"/>
  <c r="F48" i="28"/>
  <c r="B53" i="28"/>
  <c r="H51" i="28"/>
  <c r="G50" i="28"/>
  <c r="F49" i="28"/>
  <c r="E48" i="28"/>
  <c r="S62" i="28"/>
  <c r="R61" i="28"/>
  <c r="Q60" i="28"/>
  <c r="P59" i="28"/>
  <c r="O58" i="28"/>
  <c r="N57" i="28"/>
  <c r="R62" i="28"/>
  <c r="Q61" i="28"/>
  <c r="P60" i="28"/>
  <c r="O59" i="28"/>
  <c r="N58" i="28"/>
  <c r="M57" i="28"/>
  <c r="Q62" i="28"/>
  <c r="P61" i="28"/>
  <c r="O60" i="28"/>
  <c r="N59" i="28"/>
  <c r="M58" i="28"/>
  <c r="P62" i="28"/>
  <c r="O61" i="28"/>
  <c r="N60" i="28"/>
  <c r="M59" i="28"/>
  <c r="S57" i="28"/>
  <c r="N62" i="28"/>
  <c r="R58" i="28"/>
  <c r="O62" i="28"/>
  <c r="N61" i="28"/>
  <c r="M60" i="28"/>
  <c r="S58" i="28"/>
  <c r="R57" i="28"/>
  <c r="M61" i="28"/>
  <c r="S59" i="28"/>
  <c r="Q57" i="28"/>
  <c r="M62" i="28"/>
  <c r="S60" i="28"/>
  <c r="R59" i="28"/>
  <c r="Q58" i="28"/>
  <c r="P57" i="28"/>
  <c r="S61" i="28"/>
  <c r="R60" i="28"/>
  <c r="Q59" i="28"/>
  <c r="P58" i="28"/>
  <c r="O57" i="28"/>
  <c r="H15" i="28"/>
  <c r="G14" i="28"/>
  <c r="F13" i="28"/>
  <c r="E12" i="28"/>
  <c r="D11" i="28"/>
  <c r="F15" i="28"/>
  <c r="D13" i="28"/>
  <c r="B11" i="28"/>
  <c r="D16" i="28"/>
  <c r="C15" i="28"/>
  <c r="H12" i="28"/>
  <c r="H16" i="28"/>
  <c r="G15" i="28"/>
  <c r="F14" i="28"/>
  <c r="E13" i="28"/>
  <c r="D12" i="28"/>
  <c r="C11" i="28"/>
  <c r="F16" i="28"/>
  <c r="E15" i="28"/>
  <c r="D14" i="28"/>
  <c r="C13" i="28"/>
  <c r="B12" i="28"/>
  <c r="G11" i="28"/>
  <c r="E16" i="28"/>
  <c r="D15" i="28"/>
  <c r="C14" i="28"/>
  <c r="B13" i="28"/>
  <c r="H11" i="28"/>
  <c r="C16" i="28"/>
  <c r="B15" i="28"/>
  <c r="H13" i="28"/>
  <c r="G12" i="28"/>
  <c r="F11" i="28"/>
  <c r="G16" i="28"/>
  <c r="E14" i="28"/>
  <c r="C12" i="28"/>
  <c r="B14" i="28"/>
  <c r="B16" i="28"/>
  <c r="H14" i="28"/>
  <c r="G13" i="28"/>
  <c r="F12" i="28"/>
  <c r="E11" i="28"/>
  <c r="C26" i="28"/>
  <c r="B25" i="28"/>
  <c r="H23" i="28"/>
  <c r="G22" i="28"/>
  <c r="F21" i="28"/>
  <c r="B22" i="28"/>
  <c r="B26" i="28"/>
  <c r="H24" i="28"/>
  <c r="G23" i="28"/>
  <c r="F22" i="28"/>
  <c r="E21" i="28"/>
  <c r="H25" i="28"/>
  <c r="F23" i="28"/>
  <c r="E22" i="28"/>
  <c r="E25" i="28"/>
  <c r="H26" i="28"/>
  <c r="G25" i="28"/>
  <c r="F24" i="28"/>
  <c r="E23" i="28"/>
  <c r="D22" i="28"/>
  <c r="C21" i="28"/>
  <c r="D24" i="28"/>
  <c r="G26" i="28"/>
  <c r="F25" i="28"/>
  <c r="E24" i="28"/>
  <c r="D23" i="28"/>
  <c r="C22" i="28"/>
  <c r="B21" i="28"/>
  <c r="E26" i="28"/>
  <c r="D25" i="28"/>
  <c r="C24" i="28"/>
  <c r="B23" i="28"/>
  <c r="H21" i="28"/>
  <c r="D26" i="28"/>
  <c r="C25" i="28"/>
  <c r="B24" i="28"/>
  <c r="H22" i="28"/>
  <c r="G21" i="28"/>
  <c r="G24" i="28"/>
  <c r="D21" i="28"/>
  <c r="F26" i="28"/>
  <c r="C23" i="28"/>
  <c r="S23" i="28"/>
  <c r="O21" i="28"/>
  <c r="P22" i="28"/>
  <c r="Q23" i="28"/>
  <c r="R24" i="28"/>
  <c r="S25" i="28"/>
  <c r="P21" i="28"/>
  <c r="Q22" i="28"/>
  <c r="R23" i="28"/>
  <c r="S24" i="28"/>
  <c r="M26" i="28"/>
  <c r="R21" i="28"/>
  <c r="S22" i="28"/>
  <c r="M24" i="28"/>
  <c r="N25" i="28"/>
  <c r="O26" i="28"/>
  <c r="Q21" i="28"/>
  <c r="N26" i="28"/>
  <c r="S21" i="28"/>
  <c r="M23" i="28"/>
  <c r="N24" i="28"/>
  <c r="O25" i="28"/>
  <c r="P26" i="28"/>
  <c r="M22" i="28"/>
  <c r="N23" i="28"/>
  <c r="O24" i="28"/>
  <c r="P25" i="28"/>
  <c r="Q26" i="28"/>
  <c r="M25" i="28"/>
  <c r="M21" i="28"/>
  <c r="N22" i="28"/>
  <c r="O23" i="28"/>
  <c r="P24" i="28"/>
  <c r="Q25" i="28"/>
  <c r="R26" i="28"/>
  <c r="R22" i="28"/>
  <c r="N21" i="28"/>
  <c r="O22" i="28"/>
  <c r="P23" i="28"/>
  <c r="Q24" i="28"/>
  <c r="R25" i="28"/>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P91" i="6"/>
  <c r="R91" i="6"/>
  <c r="T91" i="6"/>
  <c r="O91" i="6"/>
  <c r="R56" i="6"/>
  <c r="T56" i="6"/>
  <c r="O56" i="6"/>
  <c r="T34" i="6"/>
  <c r="O6" i="18" s="1"/>
  <c r="R34" i="6"/>
  <c r="K6" i="18" s="1"/>
  <c r="G6" i="18"/>
  <c r="O34" i="6"/>
  <c r="C6" i="18" s="1"/>
  <c r="O7" i="18" l="1"/>
  <c r="K7" i="18"/>
  <c r="G7" i="18"/>
  <c r="C7" i="18"/>
  <c r="T101" i="6"/>
  <c r="O28" i="18" s="1"/>
  <c r="R101" i="6"/>
  <c r="K28" i="18" s="1"/>
  <c r="T77" i="6"/>
  <c r="R77" i="6"/>
  <c r="T61" i="6"/>
  <c r="R61" i="6"/>
  <c r="T44" i="6"/>
  <c r="R44" i="6"/>
  <c r="T26" i="6"/>
  <c r="T37" i="6" s="1"/>
  <c r="R26" i="6"/>
  <c r="R37" i="6" s="1"/>
  <c r="P101" i="6"/>
  <c r="G28" i="18" s="1"/>
  <c r="O101" i="6"/>
  <c r="C28" i="18" s="1"/>
  <c r="P77" i="6"/>
  <c r="O77" i="6"/>
  <c r="P61" i="6"/>
  <c r="O61" i="6"/>
  <c r="O44" i="6"/>
  <c r="P37" i="6"/>
  <c r="O26" i="6"/>
  <c r="O37" i="6" s="1"/>
  <c r="O17" i="18" l="1"/>
  <c r="O24" i="18" s="1"/>
  <c r="O30" i="18" s="1"/>
  <c r="T93" i="6"/>
  <c r="G17" i="18"/>
  <c r="G24" i="18" s="1"/>
  <c r="P93" i="6"/>
  <c r="K17" i="18"/>
  <c r="K24" i="18" s="1"/>
  <c r="K30" i="18" s="1"/>
  <c r="R93" i="6"/>
  <c r="C17" i="18"/>
  <c r="C24" i="18" s="1"/>
  <c r="O93" i="6"/>
  <c r="O95" i="6"/>
  <c r="O105" i="6" s="1"/>
  <c r="P95" i="6"/>
  <c r="R95" i="6"/>
  <c r="T95" i="6"/>
  <c r="T108" i="6" s="1"/>
  <c r="R108" i="6" l="1"/>
  <c r="S105" i="6"/>
  <c r="P105" i="6"/>
  <c r="G26" i="18" s="1"/>
  <c r="G30" i="18" s="1"/>
  <c r="F6" i="6"/>
  <c r="C26" i="18"/>
  <c r="C30" i="18" s="1"/>
  <c r="O108" i="6"/>
  <c r="P108" i="6" l="1"/>
  <c r="R110" i="6" s="1"/>
  <c r="J71" i="25"/>
  <c r="J63" i="25"/>
  <c r="J55" i="25"/>
  <c r="J47" i="25"/>
  <c r="J39" i="25"/>
  <c r="J31" i="25"/>
  <c r="J23" i="25"/>
  <c r="J15" i="25"/>
  <c r="J7" i="25"/>
  <c r="H67" i="25"/>
  <c r="H59" i="25"/>
  <c r="H51" i="25"/>
  <c r="H43" i="25"/>
  <c r="H35" i="25"/>
  <c r="H27" i="25"/>
  <c r="H19" i="25"/>
  <c r="H11" i="25"/>
  <c r="F71" i="25"/>
  <c r="F63" i="25"/>
  <c r="F55" i="25"/>
  <c r="F47" i="25"/>
  <c r="F39" i="25"/>
  <c r="F31" i="25"/>
  <c r="F15" i="25"/>
  <c r="J69" i="25"/>
  <c r="J61" i="25"/>
  <c r="J53" i="25"/>
  <c r="J45" i="25"/>
  <c r="J37" i="25"/>
  <c r="J29" i="25"/>
  <c r="J21" i="25"/>
  <c r="J13" i="25"/>
  <c r="J5" i="25"/>
  <c r="H65" i="25"/>
  <c r="H57" i="25"/>
  <c r="H49" i="25"/>
  <c r="H41" i="25"/>
  <c r="H33" i="25"/>
  <c r="H25" i="25"/>
  <c r="H17" i="25"/>
  <c r="H9" i="25"/>
  <c r="F69" i="25"/>
  <c r="F61" i="25"/>
  <c r="F53" i="25"/>
  <c r="F45" i="25"/>
  <c r="F37" i="25"/>
  <c r="F29" i="25"/>
  <c r="F21" i="25"/>
  <c r="F13" i="25"/>
  <c r="J67" i="25"/>
  <c r="J59" i="25"/>
  <c r="J51" i="25"/>
  <c r="J43" i="25"/>
  <c r="J35" i="25"/>
  <c r="J27" i="25"/>
  <c r="J19" i="25"/>
  <c r="J11" i="25"/>
  <c r="H71" i="25"/>
  <c r="H63" i="25"/>
  <c r="H55" i="25"/>
  <c r="H47" i="25"/>
  <c r="H39" i="25"/>
  <c r="H31" i="25"/>
  <c r="H23" i="25"/>
  <c r="H15" i="25"/>
  <c r="H7" i="25"/>
  <c r="F67" i="25"/>
  <c r="F59" i="25"/>
  <c r="F51" i="25"/>
  <c r="F43" i="25"/>
  <c r="F35" i="25"/>
  <c r="F27" i="25"/>
  <c r="F19" i="25"/>
  <c r="F11" i="25"/>
  <c r="F3" i="25"/>
  <c r="F7" i="25"/>
  <c r="J65" i="25"/>
  <c r="J57" i="25"/>
  <c r="J49" i="25"/>
  <c r="J41" i="25"/>
  <c r="J33" i="25"/>
  <c r="J25" i="25"/>
  <c r="J17" i="25"/>
  <c r="J9" i="25"/>
  <c r="H69" i="25"/>
  <c r="H61" i="25"/>
  <c r="H53" i="25"/>
  <c r="H45" i="25"/>
  <c r="H37" i="25"/>
  <c r="H29" i="25"/>
  <c r="H21" i="25"/>
  <c r="H13" i="25"/>
  <c r="H5" i="25"/>
  <c r="F65" i="25"/>
  <c r="F57" i="25"/>
  <c r="F49" i="25"/>
  <c r="F41" i="25"/>
  <c r="F33" i="25"/>
  <c r="F25" i="25"/>
  <c r="F17" i="25"/>
  <c r="F9" i="25"/>
  <c r="F23" i="25"/>
  <c r="F5" i="25"/>
  <c r="D71" i="25"/>
  <c r="D63" i="25"/>
  <c r="D55" i="25"/>
  <c r="D47" i="25"/>
  <c r="D39" i="25"/>
  <c r="D31" i="25"/>
  <c r="D23" i="25"/>
  <c r="D15" i="25"/>
  <c r="D69" i="25"/>
  <c r="D61" i="25"/>
  <c r="D53" i="25"/>
  <c r="D45" i="25"/>
  <c r="D37" i="25"/>
  <c r="D29" i="25"/>
  <c r="D21" i="25"/>
  <c r="D13" i="25"/>
  <c r="D5" i="25"/>
  <c r="D3" i="25"/>
  <c r="D67" i="25"/>
  <c r="D59" i="25"/>
  <c r="D51" i="25"/>
  <c r="D43" i="25"/>
  <c r="D35" i="25"/>
  <c r="D27" i="25"/>
  <c r="D19" i="25"/>
  <c r="D11" i="25"/>
  <c r="H3" i="25"/>
  <c r="D65" i="25"/>
  <c r="D57" i="25"/>
  <c r="D49" i="25"/>
  <c r="D41" i="25"/>
  <c r="D33" i="25"/>
  <c r="D25" i="25"/>
  <c r="D17" i="25"/>
  <c r="D9" i="25"/>
  <c r="J3" i="25"/>
  <c r="D7" i="25"/>
</calcChain>
</file>

<file path=xl/sharedStrings.xml><?xml version="1.0" encoding="utf-8"?>
<sst xmlns="http://schemas.openxmlformats.org/spreadsheetml/2006/main" count="763" uniqueCount="304">
  <si>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</si>
  <si>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</si>
  <si>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</si>
  <si>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</si>
  <si>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</si>
  <si>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</si>
  <si>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</si>
  <si>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</si>
  <si>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</si>
  <si>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</si>
  <si>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</si>
  <si>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</si>
  <si>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</si>
  <si>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</si>
  <si>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</si>
  <si>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</si>
  <si>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</si>
  <si>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</si>
  <si>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</si>
  <si>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</si>
  <si>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</si>
  <si>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</si>
  <si>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</si>
  <si>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</si>
  <si>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</si>
  <si>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</si>
  <si>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</si>
  <si>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</si>
  <si>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</si>
  <si>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</si>
  <si>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</si>
  <si>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</si>
  <si>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</si>
  <si>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</si>
  <si>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</si>
  <si>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</si>
  <si>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</si>
  <si>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</si>
  <si>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</si>
  <si>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</si>
  <si>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</si>
  <si>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</si>
  <si>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</si>
  <si>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</si>
  <si>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</si>
  <si>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</si>
  <si>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</si>
  <si>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</si>
  <si>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</si>
  <si>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</si>
  <si>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</si>
  <si>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</si>
  <si>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</si>
  <si>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</si>
  <si>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</si>
  <si>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</si>
  <si>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</si>
  <si>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</si>
  <si>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</si>
  <si>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</si>
  <si>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</si>
  <si>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</si>
  <si>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</si>
  <si>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</si>
  <si>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</si>
  <si>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</si>
  <si>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</si>
  <si>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</si>
  <si>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</si>
  <si>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</si>
  <si>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</si>
  <si>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</si>
  <si>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</si>
  <si>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</si>
  <si>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</si>
  <si>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</si>
  <si>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</si>
  <si>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</si>
  <si>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</si>
  <si>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</si>
  <si>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</si>
  <si>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</si>
  <si>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</si>
  <si>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</si>
  <si>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</si>
  <si>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</si>
  <si>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</si>
  <si>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</si>
  <si>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</si>
  <si>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</si>
  <si>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</si>
  <si>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</si>
  <si>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</si>
  <si>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</si>
  <si>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</si>
  <si>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</si>
  <si>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</si>
  <si>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</si>
  <si>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</si>
  <si>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</si>
  <si>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</si>
  <si>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</si>
  <si>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</si>
  <si>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</si>
  <si>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</si>
  <si>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</si>
  <si>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</si>
  <si>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</si>
  <si>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</si>
  <si>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</si>
  <si>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</si>
  <si>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</si>
  <si>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</si>
  <si>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</si>
  <si>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</si>
  <si>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</si>
  <si>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</si>
  <si>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</si>
  <si>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</si>
  <si>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</si>
  <si>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</si>
  <si>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</si>
  <si>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</si>
  <si>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</si>
  <si>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</si>
  <si>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</si>
  <si>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</si>
  <si>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</si>
  <si>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</si>
  <si>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</si>
  <si>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</si>
  <si>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</si>
  <si>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</si>
  <si>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</si>
  <si>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</si>
  <si>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</si>
  <si>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</si>
  <si>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</si>
  <si>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</si>
  <si>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</si>
  <si>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</si>
  <si>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</si>
  <si>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</si>
  <si>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</si>
  <si>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</si>
  <si>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</si>
  <si>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</si>
  <si>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</si>
  <si>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</si>
  <si>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</si>
  <si>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</si>
  <si>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</si>
  <si>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</si>
  <si>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</si>
  <si>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</si>
  <si>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</si>
  <si>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</si>
  <si>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</si>
  <si>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</si>
  <si>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</si>
  <si>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</si>
  <si>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</si>
  <si>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</si>
  <si>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</si>
  <si>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</si>
  <si>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</si>
  <si>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</si>
  <si>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</si>
  <si>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</si>
  <si>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</si>
  <si>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</si>
  <si>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</si>
  <si>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</si>
  <si>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</si>
  <si>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</si>
  <si>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</si>
  <si>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</si>
  <si>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</si>
  <si>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</si>
  <si>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</si>
  <si>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</si>
  <si>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</si>
  <si>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End of 1st Quarter</t>
  </si>
  <si>
    <t>End of 2nd Quarter</t>
  </si>
  <si>
    <t>End of 3rd Quarter</t>
  </si>
  <si>
    <t>All travel will follow the state of Montana rates and policies</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</si>
  <si>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</si>
  <si>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</si>
  <si>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</si>
  <si>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</si>
  <si>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</si>
  <si>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</si>
  <si>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</si>
  <si>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</si>
  <si>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</si>
  <si>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</si>
  <si>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Strengthening Montana Career Pathways 2019-2020</t>
  </si>
  <si>
    <t>Perkins Program Coordinator:</t>
  </si>
  <si>
    <t>Pathways Coordinator:</t>
  </si>
  <si>
    <t xml:space="preserve">Which MCP(s) are supported by this work?  </t>
  </si>
  <si>
    <t>Dawson Community College</t>
  </si>
  <si>
    <t>2019-2020</t>
  </si>
  <si>
    <t>Cela</t>
  </si>
  <si>
    <t>Suela</t>
  </si>
  <si>
    <t>300 College Drive</t>
  </si>
  <si>
    <t>Glendive</t>
  </si>
  <si>
    <t>406.377.9403</t>
  </si>
  <si>
    <t>MT</t>
  </si>
  <si>
    <t>scela@dawson.edu</t>
  </si>
  <si>
    <t>406.377.8132</t>
  </si>
  <si>
    <t>King</t>
  </si>
  <si>
    <t>Jennifer</t>
  </si>
  <si>
    <t>406.377.9458</t>
  </si>
  <si>
    <t>CAREER CAMP</t>
  </si>
  <si>
    <t>Agriculture, Food, and Natural Resources Career Pathways, Education Pathways, Welding and Fabrication Career Pathway, Business Management Career Pathway, STEM Pathways</t>
  </si>
  <si>
    <t>NACEP PRESENTATION</t>
  </si>
  <si>
    <t xml:space="preserve">Attend the National Alliance of Concurrent Enrollment (NACEP) conference. 
The National Alliance of Concurrent Enrollment Partnerships (NACEP) works to ensure that college courses offered by high school teachers are as rigorous as courses offered on the sponsoring college campus. As the sole accrediting body for concurrent enrollment partnerships, NACEP helps these programs adhere to the highest possible standards, ensuring students with a seamless transition to college as well as benefiting teachers benefit with meaningful, ongoing professional development. To advance the field and support our national network of members, we actively share the latest knowledge about best practices, research, and advocacy. Our annual conference is the premier destination for college officials, high school leaders, policymakers, and researchers interested in creating an effective academic bridge between high school and college.
DCC Pathways Coordinator currently serves on the National Planning board for NACEP, and is invited to speak at the pre-conference sessions on Dual Enrollment 201 which focuses on perfecting the career pathway collaborations, and dual enrollment classes through continuous improvement in course alignment.
</t>
  </si>
  <si>
    <t>Pathways Coordinator will learn best practices to expand Montana Career Pathways and dual credit program.</t>
  </si>
  <si>
    <t>ALL</t>
  </si>
  <si>
    <t>3rd Annual Welding Competition</t>
  </si>
  <si>
    <t>Dawson Community College hosted its first annual High School Welding Competition this May. The event was a huge success, attracting 16 high school students and four area high schools. DCC will be hosting a second competition for the 2018-2019 academic year. During this day long competion,  students  will display their welding skills by performing various welds within a time limit and taking a written exam. Their work will be judged and given ideas for improvement. Competitors will be graded on proper weld bead placement and uniformity, plus blue print reading and other skills by a panel of independent professional welders in the industry. During the competition, Pathways Coordiantor will host a meeting with counselors to work on enhancing the currect dual credit courses, and collaborate on new ones.
MCP Pathways Coordinator will host a "Counselors Session" to increase awareness of MCPs and its website, and work on dual credit courses. Area businesses will be invited to judge the competition.</t>
  </si>
  <si>
    <t>Welding and Fabrication Pathways</t>
  </si>
  <si>
    <t>High School MCP visits</t>
  </si>
  <si>
    <t>All High Schools will become aware of Montana Career Pathways.                                                                                                                                                                                                                                                                                                                                                    All High Schools will be invited for bilateral meetings between DCC's administration and High School administration to discuss dual credit opportunities.                                                                                                                                                                                      DCC will add work will start working with at least two new high schools (Savage High School and Fairview High School).</t>
  </si>
  <si>
    <t>Agriculture, Food and Natural Resources; Welding and Fabrication, and (Early Childhood) Education Career Pathways</t>
  </si>
  <si>
    <t xml:space="preserve">The promotion of Montana Career Pathways, specifically Agriculture, Food and Natural Resource Pathway.                                                                                                                                                                                                                                                                                  15 students will attend the mixer. </t>
  </si>
  <si>
    <t>Agriculture, Food and Natural Resources Pathways</t>
  </si>
  <si>
    <t>Agriculture, Food, and Natural Resources Career Pathways, Education Pathways, Welding and Fabrication Career Pathway, Information Technology Career Pathway, Business Management Career Pathway, STEM Pathways</t>
  </si>
  <si>
    <t>Pathways Manager</t>
  </si>
  <si>
    <t>Dual Credit partnerhsip opportunities with at least two new high schools.                                                                                                                                                                                                                                                                                                                                                                                         Create 4 new dual credit classes.                                                                                                                                                                                                                                                                                                                                                                                                                                                                                            Visit quarterly each high school in our service area (DCHS; Terry; Wibaux; Sidney; Poplar, Plentywood, Glasgow, Savage, Carter County HS)</t>
  </si>
  <si>
    <t>ATEA Conference</t>
  </si>
  <si>
    <t xml:space="preserve">5% of the project funds will be used for indirect costs.  No funds will be used for administration costs. </t>
  </si>
  <si>
    <t xml:space="preserve">Faculty Salaries for Career Camp. 4 faculty at 3 hours of prep and teaching each, for $50/ hours = 4x3x50=600 </t>
  </si>
  <si>
    <t>Benefits for Pathways Coordinator at 18%</t>
  </si>
  <si>
    <t xml:space="preserve">Health Insurance for the MCP Program Manager will be covered by DCC </t>
  </si>
  <si>
    <t>DCC Bus Expnses for "Career Camp" such as advising sheets; pathways documents. (no college recruiting materials will be printed)</t>
  </si>
  <si>
    <t>Monthly payment for mobile hot spot service for 12 months @45/month</t>
  </si>
  <si>
    <t xml:space="preserve">Office Supplies: Paper, ink cartridge, calendar, file folders </t>
  </si>
  <si>
    <t>Travel to Billings to host a MCP booth at BPA . Gas Riembursment 220 miles x2 x.54=$237.6, three nights hotel and 2*115=230 days and per state diem $35.</t>
  </si>
  <si>
    <t>Travel to Billings to host a JMG booth . Gas Riembursment 220 miles x2 x.54=$237.6, three nights hotel and 2*115=230 days and per state diem $35.</t>
  </si>
  <si>
    <t>Registration fees for two DCC employees to attend NACEP in Salt Lake City: 2x$625=1250</t>
  </si>
  <si>
    <t xml:space="preserve">State FCCLA Registration Fees </t>
  </si>
  <si>
    <t>State FFA Registration Fees</t>
  </si>
  <si>
    <t>State BPA Registration Fees</t>
  </si>
  <si>
    <t>HOSA Conference</t>
  </si>
  <si>
    <t>Registration fees for ATEA for two faculty at $600 for a total 2*600=1200</t>
  </si>
  <si>
    <t>Travel to Bozeman to host a MCP booth and at HOSA. Gas Riembursment 361 miles x2 x.54=$390, two nights hotel and 3*115=345 days and per state diem at $23 *3=69</t>
  </si>
  <si>
    <t>Benefits for Career Camp Faculty Salaries at 18%</t>
  </si>
  <si>
    <r>
      <t>Pathway Coordinators 2019-2020 Training from Glendive to Great Falls. Gas Reimbursement Mileage per diem at</t>
    </r>
    <r>
      <rPr>
        <sz val="11"/>
        <color rgb="FFFF0000"/>
        <rFont val="Calibri"/>
        <family val="2"/>
        <scheme val="minor"/>
      </rPr>
      <t xml:space="preserve"> </t>
    </r>
    <r>
      <rPr>
        <sz val="11"/>
        <color theme="1"/>
        <rFont val="Calibri"/>
        <family val="2"/>
        <scheme val="minor"/>
      </rPr>
      <t xml:space="preserve"> 349 miles x2 x.54=$404.84 Lodging for 3daysx$115=$345 Per diem 4*$23=$92</t>
    </r>
  </si>
  <si>
    <t>Travel to Bozeman to host a MCP booth and present on  MCP at STATE FCCLA. Gas Riembursment 361 miles x2 x.58=$418.76, two nights hotel and 3*115=345 days and per state diem at $23 *3=69</t>
  </si>
  <si>
    <t xml:space="preserve">Pathways Coordinator position will be funded at 20 hours/week *$20/hour for a total of 1040 hours. </t>
  </si>
  <si>
    <t>Supplies for 3rd Annual High School Welding Competition held at DCC, including metal, welding rods, welding wire, grinding wheels, flap discs, band saw blades and stringer wheels, safety glasses.</t>
  </si>
  <si>
    <t>STATE ORGANIZATIONS</t>
  </si>
  <si>
    <t xml:space="preserve">Printing promotional and event materials (event maps, pathways documents) for Career Camp and all other High School organizational presentations - no reruiting materials will be printed. </t>
  </si>
  <si>
    <t>Masau</t>
  </si>
  <si>
    <t>Traci</t>
  </si>
  <si>
    <t>406.377.9418</t>
  </si>
  <si>
    <t>tmasau@dawson.edu</t>
  </si>
  <si>
    <t xml:space="preserve">Attend: FCCLA; FFA; HOSA; BPA; JMG. Pathways Coordinator will present at State Family, Career, and Community Leaders of America (FCCLA) on 2 year colleges and Pathways. In addition, the Coordinator will host a booth to bring awarness on MCPs at FFA, HOSA, BPA, JMG. We have hosted booths at these state organizations in the past with huge success in bringing student awarness on the pathways that each area represents. As such, we will continue representing Montana Career Pathways to our high school students. 
</t>
  </si>
  <si>
    <t xml:space="preserve">150 students will be visiting our booth from various events, discussing pathways, dual enrollment and CTE programs offered.                                                                                                                                                                                                                                                                                                                  </t>
  </si>
  <si>
    <t>ALL Pathways</t>
  </si>
  <si>
    <t xml:space="preserve">10-15 high school students will be attending Career Camp
All participants will be exposed to the participating technical programs.
All participants will be exposed Montana Career Pathways presentation.                                                                                                                                                                                                                                                                                                                                                                                                                                                                                                             </t>
  </si>
  <si>
    <r>
      <t xml:space="preserve">DCC will partner with Glendive Job Service and the Department of Public Health and Human and Services (DPHSS) to provide a summer Career Camp for our high school students. The Career Camp will take place July 17. The event is structured to allow the students to spend the morning participating in 25 minute sessions led by our faculty. During these sessions, our faculty will discuss career opportunities in technical fields and other college programs, plans of study for each programs, and the career opportunities and benefits associated with them. MCP Coordinator will also give a 25 minute presentation on Pathways and Dual Credit courses. In addition, MCP Coordinator would like to collaborate with Reach Higher Montana to educate students on Financial Aid. </t>
    </r>
    <r>
      <rPr>
        <sz val="11"/>
        <color rgb="FFFF0000"/>
        <rFont val="Calibri (Body)_x0000_"/>
      </rPr>
      <t xml:space="preserve">Tentative Agenda:          </t>
    </r>
    <r>
      <rPr>
        <sz val="11"/>
        <color theme="1"/>
        <rFont val="Calibri"/>
        <family val="2"/>
        <scheme val="minor"/>
      </rPr>
      <t xml:space="preserve">                                                                                                                                                                                                                                                                                                                                                                                                                                                                                                                                                                                                                           8:30a-9a Registration/choose pathway-assign groups
9a-10a  Campus ice breaker activity w/Student Services
10:15-11:00  MCIS w/Amy computer lab
	-may need to use both 147/146
11-12:30p  Science Pathway:  w/Tom &amp; Jennifer
11-12:30p  Technology Pathway (coding demo or IT –Mark?/ Corrosion graduate speaker:  Tavi?/SRS-engineering or BNSF?
11-12:30p  Business Pathway:  Midrivers/HR/Sugar Plum-Entrepreneurship/Melonie Beeler-accounting/financial/budgeting; Hospitality:  hotel mgr
12:30-1:30p  Lunch Cafeteria-Dave? Or cater subway/make your own, picnic style
1:30-3:30p-tour job sites in pathways groups
	-Fish/wildlife game warden/Albertsons/Midrivers/WBI/Vet/SRS/La’Amour Desserts
	-transport and drop offs
	-Chaperone for each pathway (Amanda/Olivia/ME)
3:30p-4:30p debrief/closing guest speaker:  Caitlyn Eslick-Entrepreneur or Lara Crighton-sales</t>
    </r>
  </si>
  <si>
    <t>Travel to Bozeman to attend state FFA and host a booth. Gas Reimbursement 361 miles x2 x.58=$390. two nights hotel and 3*115=345 days and per state diem at $23 *3=69</t>
  </si>
  <si>
    <t xml:space="preserve">Quarterly trips to service area high schools for HS visits on Pathway Presentations, Faculty presentations, dual credit collaboration and course recaps. Gas reimbursement Fairview 64.5 miles 64.5(2)(.58)(4)= $279, Wibaux 28 miles 28(2)(.54)(4)=$121, Poplar 123 miles123(2)(.58)(4)=$531, Jordan 115 miles 115(2)(.58)(4) =$497, Carter County 108 miles 108(2)(.58)(4)= $467 , Dawson Country High school  .5 miles (2)(.58)(4)=$2., Sidney high school 53.2 miles 53.2(2)(.58)(4)=$230, Plentywood high school 137miles 137(2)(.58)(4)=$592,  Glasgow high school 150miles 150(2)(.58)(4)=648, Terry high school 38.5miles 38.5(2)(.58)(4)=$166, Savage high school 32.8 miles 32.8(2)(.58)(4)=$142;                                     5 overnight trips at 5*115=575 and 10 per diem days at $10* 23=$230 .  </t>
  </si>
  <si>
    <t>40 students are expected to join the competition.                                                                                                                                                                                                                                                                                                                                                                                                                                                                                                                                                                         All attending students will learn more about the Welding and Fabrication Pathway, its program of study, and career opportunities from area business and industry.                                                                                                                                                                                                                                                                                                            All attending counselors will learn about Montana Career Pathways and its website.                                                                                                                                                                                                                                                                                                                                                                                                                                                                                           DCC will increase dual credit welding classes with 5 new students.</t>
  </si>
  <si>
    <t xml:space="preserve">Over the past four years, DCC has worked to aggressively grow access to dual credit enrollment with our area high schools. During the 2018-2019 academic year, DCC offered over 30 DE classes in various disciplines, while continuously increasing the enrollment numbers.  
This increase is partially credited from the regular high school visits performed throughout the year. Pathways Coordinator will continue to work closely with the same group to ensure that small schools have knowledge of and access to dual credit courses through the high schools.  Pathways Coordinator will perform quarterly visits to the following high schools: DCHS, Terry HS, Savage HS, Sidney HS, Fairview HS, Plevna HS, Fairview HS, Wibaux HS, The visits will focus on classroom presentations on MCP, DE collaboration opportunities, course recaps. 
</t>
  </si>
  <si>
    <t xml:space="preserve">As Pathways grant recipient, MCP Coordinator will serve as .5 FTE Grant employee (20 hours/week) and fulfill all grant obligations, while continuing her work as the Dual Enrollment Coordinator. Taking under consideration the Dual Enrollment Coordinator’s proactive approach towards Pathways, DCC has identified that .5 FTE is already is adequate amount of time to set aside on carrying on the new pathway projects proposed in the grant. 
The .5 FTE position will focus on furthering the partnerships between the area high schools and the college by providing dual credit opportunities.
• Collaborate with high school administrators and staff, College administration, High School Career counselors, Institutional Advancement, Institutional Effectiveness, Testing Coordinator, the Enrollment Office, and the College’s lead program faculty to grow the DE Program, ensure its quality, and increase the number of public and private high school students and home schooled students enrolled in DCC courses and programs
• Develop and implement a timeline and process for all tasks related to DE recruitment, enrollment, retention, and reporting – including dual enrollment application, testing, registration, and enrollment roster due dates. 
• Prepare marketing communications to DE instructors and other stakeholders, outline dual enrollment procedures, calendar of dates and deadlines, and procedures for checking class rosters and for entering grades. 
• Review local high school Programs of Study to ensure accuracy in presentation of College programs, courses, and career pathways
• Develop and implement an orientation program, handbook, and other resources for high school and adjunct faculty teaching DE courses. 
• Develop and maintain an archive of course syllabi for DE classes.
• Coordinate and facilitate trainings for secondary school staff.
• Develop and implement an informational tour program for secondary teachers to introduce/reintroduce teachers to our college’s facilities and programs
• Develop a presence at the Montana Teachers conference to strengthen ties with secondary partners in the classroom.
• Manage an established budget.
• Organize and facilitate Career Days at DCC </t>
  </si>
  <si>
    <t xml:space="preserve">2 DCC Faculty will be attending Regional ATEA (American Technical Education Association) in Minneapolis this fall.  Our faculty will learn to implement current and future changes needed in technical education to address the workforce sill sets needed. ATEA is a leading association for the postsecondary tecnical educators, dedicated to quality of postecondary teaching ideas and best practices. The conference empowers attendees to implement the current and future changes needed in technical education to address the workforce skills sets needed in the fourth industrial revolution and beyond. DCC Faculty Industry participants and educators will promote new ideas, strategies and knowledge of a certification to train and educate in these exciting times where automation, robotics, digitization, and artificial intelligence span and unite sectors and programs.  </t>
  </si>
  <si>
    <t xml:space="preserve">Roundtrip airfair from Glendive to Salt Lake City for the Pathways Coordinator and the AVP of Accreditation and Assessment staff member from the academic team to attend NACEP. $1000 for two tickets. Per diem for two
people to attend national NACEP conference: 2 people x 5 days x $50/day=500. Lodging for two people to attend NACEP 2 rooms x $250/night x 4 nights = $2000. Baggage fees and
ground shuttle for two people: $75 per each person*2=150. Traveling to Billings to fly 220milesx.58*2=255.2    </t>
  </si>
  <si>
    <t xml:space="preserve">Roundtrip airfair from Glendive to Minneapolis for two faculty to attend ATEA Conference focused on promoting two year technical education. The conference will help support the grant by providing professional delopment for our faculty in learning new ways to help students explore and engage in college and career readiness through work-based learning, industry recognized credentials and dual enrollment. $1000 for two tickets. Per diem for two people to attend national NACEP conference: 2 people x 5 days x $50/day=500. Lodging for two people to attend NACEP 2 rooms x $250/night x 4 nights = $2000. Baggage fees and
ground shuttle for two people: $75 per each person*2=150      </t>
  </si>
  <si>
    <t xml:space="preserve">The expenses were lower than anticipated. </t>
  </si>
  <si>
    <t xml:space="preserve">John Deer Ag Expo Registraion </t>
  </si>
  <si>
    <t>Travel to Bozeman to attend John Deer Ag Expo Career Fair. Gas reimbusement for 361*2*.58=424.56; Lodging for 149.73 Meals for $53.50 for a total of 627.79</t>
  </si>
  <si>
    <t>Expenses lower than anticipated in the first two quarters</t>
  </si>
  <si>
    <t xml:space="preserve">Roundtrip airfair from Glendive to Camden, NJ for two DCC employees to attend ATEA Conference focused on promoting two year technical education. The conference will help support the grant by providing professional delopment for our CTE employees in learning new ways to help students explore and engage in college and career readiness through work-based learning, industry recognized credentials and dual enrollment. Transport Glendive to Billings 220*2*.58=255.20; $1500 for two tickets. Per diem for two people to attend national ATEA conference: 2 people x 5 days x $50/day=500. Lodging for two people to attend NACEP 2 rooms x $250/night x 4 nights = $2000. Baggage fees and
ground shuttle for two people: $75 per each person*2=150      </t>
  </si>
  <si>
    <t xml:space="preserve">Event didn't take place. </t>
  </si>
  <si>
    <t>Event canceled due to COVID-19.</t>
  </si>
  <si>
    <t xml:space="preserve">Costs lower than anticipated. </t>
  </si>
  <si>
    <t>HOSA decided to not have vendors.</t>
  </si>
  <si>
    <t>Scanner equipment to use for document sharing purposes between DCC and partner high schools.</t>
  </si>
  <si>
    <t xml:space="preserve">John Deer Ag Expo Registration </t>
  </si>
  <si>
    <t>Event canceled due to COVID-19. Refund provided.</t>
  </si>
  <si>
    <t>HOSA did not host a vendor fair for their event</t>
  </si>
  <si>
    <t>April and May trips canceled due to COVID</t>
  </si>
  <si>
    <t>Event canceled due to COVID-19</t>
  </si>
  <si>
    <t>All spring travel suspended/canceled due to COVID-19</t>
  </si>
  <si>
    <t>Costs lower than anticipated</t>
  </si>
  <si>
    <t>Event held via Zoom meetings, no travel required due to COVID-19</t>
  </si>
  <si>
    <t>Postponed due to COVID. Purchased flights - voucher provided for future travel</t>
  </si>
  <si>
    <t>Registration fees for two DCC employees to attend NACEP in Salt Lake City ($595 regular registration + $545 earlybird registration) including annual membership fee for MCP coordinator ($280) and preconference sessions ($150)</t>
  </si>
  <si>
    <t>1 FCD (facilitating career development) training for MCP coordinator to learn more about career advising and support high school students in making career path choices</t>
  </si>
  <si>
    <t>Annual license for Adobe Pro be used for Dual Enrollment applications to create more streamlined applications for schools and allow for fillable apps and signature requests online instead of focusing on paper applications</t>
  </si>
  <si>
    <t>Virtual Career Day</t>
  </si>
  <si>
    <t>The promotion of Montana Career Pathways
The goal will be for 30 students to attend the Virtual Career Day</t>
  </si>
  <si>
    <t>Agriculture, Food, and Natural Resources Career Pathways, Education Pathways, Welding and Fabrication Career Pathway, Business Management Career Pathway, STEM pathways</t>
  </si>
  <si>
    <t>1 year subscription to PathwayU, a career guidance platform that would allow high school students to discover career paths that are meaningful to them as well as learn about how that can connect them to higher education or directly to a career. From their brief "PathwayU uses predictive science to guide learners to education pathways, vocational choice and ultimately employment based in scientific measures of where they will find a deep sense of purpose and meaning."</t>
  </si>
  <si>
    <t>Dawson Community College will host its first Career Day, and this year we will host the event virutally. During this day long event, students will have the opportunity to connect via livestream with different CTE faculty and current students who will be showing their classrooms, labs, worksites, and field experiences through alternate reality and virtual reality recordings and streams. CTE faculty will use graphic tablet to show classroom experiences (e.g., design and creation of ag processing facility, math equations). Students will participate by watching the live stream and will have the opportunity to interact with and ask questions in real time of CTE faculty. The Pathways coordinator will also be in attendance to answer questions about dual enrollment classes and dual enrollment partnerships between DCC's CTE faculty and local high schools.</t>
  </si>
  <si>
    <t>Event moved online to virtual offering, conference registration fees applied to virtual conference</t>
  </si>
  <si>
    <t>Event postponed and moved online due to COVID-19, vendor booths canceled, refund deferred to be applied to JDAE registration fee in the fall.</t>
  </si>
  <si>
    <t>AR/VR devices to show 360degree VR tours of labs and worksites as well as AR manipulation of classroom objects for Virtual Career Day. This will help provide simulated real-world, hands-on CTE training instead of textbook and theory.
1x 209.99 instructor tablet to present AR/VR expeditions to devices
10x 384.99 = 3849.90 Magellan AR/VR devices
1x 89.99 router to connect tablet and AR/VR devices
1x 34.99 2yr warranty for instructor tablet
10x 49.99 = 499.90 2yr warranty for AR/VR devices
1x 14.99 2yr warranty for router
75.00 shipping</t>
  </si>
  <si>
    <t>AR/VR operating kit to support use of AR/VR devices used for Virtual Career Day event in May 2020
1x 199.00 1 yr remote support for AR/VR kit
1x 499.00 carrying case for AR/VR devices, router, tablet, selfie sticks
10x 12.99=129.90 bluetooth selfie sticks for AR/VR devices (required for AR use)
10x 24.99 = 249.90 virtual reality headset
1x 34.99 power adapter for charging devices
10x 40.00 = 400.00 GeekSquad white glove service for AR/VR device set up</t>
  </si>
  <si>
    <t>Graphic tablet to use during Virtual Career Day.</t>
  </si>
  <si>
    <t>Microsoft Surface laptop for Dual Enrollment coordinator to use when working from home due to COVID-19 to continue serving dual enrollment students and building partnerships with dual enrollment schools and use during Virtual Career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</si>
</sst>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3">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rgb="FFFF0000"/>
      <name val="Calibri"/>
      <family val="2"/>
      <scheme val="minor"/>
    </font>
    <font>
      <sz val="11"/>
      <name val="Calibri"/>
      <family val="2"/>
      <scheme val="minor"/>
    </font>
    <font>
      <sz val="11"/>
      <name val="Calibri"/>
      <family val="2"/>
    </font>
    <font>
      <sz val="11"/>
      <color rgb="FF000000"/>
      <name val="Calibri"/>
      <family val="2"/>
    </font>
    <font>
      <sz val="11"/>
      <color rgb="FFFF0000"/>
      <name val="Calibri (Body)_x0000_"/>
    </font>
    <font>
      <sz val="11"/>
      <color theme="1"/>
      <name val="Calibri"/>
      <family val="2"/>
      <scheme val="minor"/>
    </font>
    <font>
      <b/>
      <sz val="11"/>
      <color rgb="FFFF0000"/>
      <name val="Calibri"/>
      <family val="2"/>
      <scheme val="minor"/>
    </font>
    <font>
      <b/>
      <sz val="11"/>
      <color theme="4"/>
      <name val="Calibri"/>
      <family val="2"/>
      <scheme val="minor"/>
    </font>
    <font>
      <sz val="11"/>
      <color theme="4"/>
      <name val="Calibri"/>
      <family val="2"/>
      <scheme val="minor"/>
    </font>
    <font>
      <b/>
      <sz val="11"/>
      <color theme="0" tint="-4.9989318521683403E-2"/>
      <name val="Calibri"/>
      <family val="2"/>
      <scheme val="minor"/>
    </font>
  </fonts>
  <fills count="24">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s>
  <cellStyleXfs count="6">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4" fontId="38" fillId="0" borderId="0" applyFont="0" applyFill="0" applyBorder="0" applyAlignment="0" applyProtection="0"/>
  </cellStyleXfs>
  <cellXfs count="390">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Alignment="1">
      <alignment horizontal="left"/>
    </xf>
    <xf numFmtId="0" fontId="0" fillId="0" borderId="6" xfId="0" applyBorder="1" applyAlignment="1">
      <alignment horizontal="left"/>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xf numFmtId="0" fontId="3" fillId="0" borderId="0" xfId="0" applyFo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0" fontId="2" fillId="0" borderId="23" xfId="0" applyFont="1" applyBorder="1"/>
    <xf numFmtId="0" fontId="10" fillId="0" borderId="0" xfId="0" applyFont="1"/>
    <xf numFmtId="0" fontId="6" fillId="0" borderId="0" xfId="0" applyFont="1" applyAlignment="1">
      <alignment horizontal="center"/>
    </xf>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20" xfId="0" applyFont="1" applyBorder="1"/>
    <xf numFmtId="0" fontId="2" fillId="0" borderId="22" xfId="0" applyFont="1" applyBorder="1"/>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2" fillId="0" borderId="0" xfId="0" applyNumberFormat="1" applyFont="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lignment vertical="center"/>
    </xf>
    <xf numFmtId="0" fontId="12" fillId="13" borderId="0" xfId="2" applyFill="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Alignment="1">
      <alignment horizontal="center"/>
    </xf>
    <xf numFmtId="0" fontId="18" fillId="13" borderId="0" xfId="2" applyFont="1" applyFill="1"/>
    <xf numFmtId="1" fontId="12" fillId="13" borderId="0" xfId="2" applyNumberFormat="1" applyFill="1"/>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23" fillId="0" borderId="0" xfId="2" applyFont="1" applyAlignment="1">
      <alignment horizontal="center" vertical="center"/>
    </xf>
    <xf numFmtId="1" fontId="23" fillId="0" borderId="0" xfId="2" applyNumberFormat="1" applyFont="1" applyAlignment="1">
      <alignment horizontal="center" vertical="center"/>
    </xf>
    <xf numFmtId="0" fontId="18" fillId="13" borderId="0" xfId="2" applyFont="1" applyFill="1" applyAlignment="1">
      <alignment horizontal="center" vertical="center"/>
    </xf>
    <xf numFmtId="0" fontId="26" fillId="13" borderId="0" xfId="2" applyFont="1" applyFill="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Border="1" applyAlignment="1">
      <alignment horizontal="center" vertical="center"/>
    </xf>
    <xf numFmtId="167" fontId="26" fillId="18" borderId="30" xfId="2" applyNumberFormat="1" applyFont="1" applyFill="1" applyBorder="1" applyAlignment="1">
      <alignment horizontal="center" vertical="center"/>
    </xf>
    <xf numFmtId="167" fontId="26" fillId="22" borderId="30" xfId="2" applyNumberFormat="1" applyFont="1" applyFill="1" applyBorder="1" applyAlignment="1">
      <alignment horizontal="center" vertical="center"/>
    </xf>
    <xf numFmtId="167" fontId="26" fillId="0" borderId="30" xfId="2" applyNumberFormat="1" applyFont="1" applyBorder="1" applyAlignment="1">
      <alignment horizontal="center" vertical="center"/>
    </xf>
    <xf numFmtId="0" fontId="26" fillId="22" borderId="0" xfId="2" applyFont="1" applyFill="1" applyAlignment="1">
      <alignment horizontal="left"/>
    </xf>
    <xf numFmtId="0" fontId="18" fillId="0" borderId="0" xfId="2" applyFont="1" applyAlignment="1">
      <alignment wrapText="1"/>
    </xf>
    <xf numFmtId="167" fontId="26" fillId="16" borderId="30" xfId="2" applyNumberFormat="1" applyFont="1" applyFill="1" applyBorder="1" applyAlignment="1">
      <alignment horizontal="center" vertical="center"/>
    </xf>
    <xf numFmtId="1" fontId="18" fillId="17" borderId="0" xfId="2" applyNumberFormat="1"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167" fontId="26" fillId="17" borderId="30" xfId="2" applyNumberFormat="1" applyFont="1" applyFill="1" applyBorder="1" applyAlignment="1">
      <alignment horizontal="center" vertical="center"/>
    </xf>
    <xf numFmtId="0" fontId="26" fillId="16" borderId="0" xfId="2" applyFont="1" applyFill="1"/>
    <xf numFmtId="167" fontId="26" fillId="11" borderId="30" xfId="2" applyNumberFormat="1" applyFont="1" applyFill="1" applyBorder="1" applyAlignment="1">
      <alignment horizontal="center" vertical="center"/>
    </xf>
    <xf numFmtId="0" fontId="18" fillId="0" borderId="0" xfId="2" applyFont="1" applyAlignment="1">
      <alignment horizontal="left"/>
    </xf>
    <xf numFmtId="167" fontId="18" fillId="0" borderId="0" xfId="2" applyNumberFormat="1" applyFont="1" applyAlignment="1">
      <alignment horizontal="center" vertical="center"/>
    </xf>
    <xf numFmtId="167" fontId="26" fillId="22" borderId="0" xfId="2" applyNumberFormat="1" applyFont="1" applyFill="1" applyAlignment="1">
      <alignment horizontal="center" vertical="center"/>
    </xf>
    <xf numFmtId="167" fontId="26" fillId="0" borderId="0" xfId="2" applyNumberFormat="1" applyFont="1" applyAlignment="1">
      <alignment horizontal="center" vertical="center"/>
    </xf>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49" fontId="26" fillId="16" borderId="0" xfId="2" applyNumberFormat="1" applyFont="1" applyFill="1"/>
    <xf numFmtId="0" fontId="26" fillId="16" borderId="0" xfId="2" applyFont="1" applyFill="1" applyAlignment="1">
      <alignment horizontal="left" vertical="center"/>
    </xf>
    <xf numFmtId="167" fontId="18" fillId="16" borderId="30" xfId="2" applyNumberFormat="1" applyFont="1" applyFill="1" applyBorder="1" applyAlignment="1">
      <alignment horizontal="center" vertical="center"/>
    </xf>
    <xf numFmtId="0" fontId="26" fillId="0" borderId="0" xfId="2" applyFont="1"/>
    <xf numFmtId="0" fontId="26" fillId="18" borderId="0" xfId="2" applyFont="1" applyFill="1" applyAlignment="1">
      <alignmen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49" fontId="26" fillId="22" borderId="0" xfId="2" applyNumberFormat="1" applyFont="1" applyFill="1" applyAlignment="1">
      <alignment horizontal="left" vertical="center"/>
    </xf>
    <xf numFmtId="167" fontId="26" fillId="21" borderId="30" xfId="2" applyNumberFormat="1" applyFont="1" applyFill="1" applyBorder="1" applyAlignment="1">
      <alignment horizontal="center" vertical="center"/>
    </xf>
    <xf numFmtId="167" fontId="26" fillId="20" borderId="30" xfId="2" applyNumberFormat="1" applyFont="1" applyFill="1" applyBorder="1" applyAlignment="1">
      <alignment horizontal="center" vertical="center"/>
    </xf>
    <xf numFmtId="1" fontId="26" fillId="0" borderId="0" xfId="2" applyNumberFormat="1" applyFont="1" applyAlignment="1">
      <alignment horizontal="left" vertical="center"/>
    </xf>
    <xf numFmtId="0" fontId="26" fillId="0" borderId="0" xfId="2" applyFont="1" applyAlignment="1">
      <alignment horizontal="left" vertical="center"/>
    </xf>
    <xf numFmtId="1" fontId="24" fillId="0" borderId="0" xfId="2" applyNumberFormat="1" applyFont="1"/>
    <xf numFmtId="0" fontId="26" fillId="18" borderId="0" xfId="2" applyFont="1" applyFill="1" applyAlignment="1">
      <alignment horizontal="left" vertical="center"/>
    </xf>
    <xf numFmtId="0" fontId="26" fillId="17" borderId="0" xfId="2" applyFont="1" applyFill="1" applyAlignment="1">
      <alignment vertical="center"/>
    </xf>
    <xf numFmtId="0" fontId="2" fillId="0" borderId="0" xfId="0" applyFont="1" applyBorder="1" applyAlignment="1">
      <alignment horizontal="center"/>
    </xf>
    <xf numFmtId="0" fontId="4" fillId="3" borderId="13" xfId="0" applyFont="1" applyFill="1" applyBorder="1" applyAlignment="1"/>
    <xf numFmtId="164" fontId="34" fillId="0" borderId="1" xfId="0" applyNumberFormat="1" applyFont="1" applyBorder="1" applyAlignment="1" applyProtection="1">
      <alignment horizontal="right"/>
      <protection locked="0"/>
    </xf>
    <xf numFmtId="164" fontId="0" fillId="0" borderId="37" xfId="0" applyNumberFormat="1" applyFont="1" applyBorder="1" applyAlignment="1" applyProtection="1">
      <alignment horizontal="right"/>
      <protection locked="0"/>
    </xf>
    <xf numFmtId="164" fontId="0" fillId="0" borderId="6" xfId="0" applyNumberFormat="1" applyBorder="1" applyAlignment="1" applyProtection="1">
      <alignment wrapText="1"/>
      <protection locked="0"/>
    </xf>
    <xf numFmtId="164" fontId="0" fillId="0" borderId="1" xfId="0" applyNumberFormat="1" applyFont="1" applyBorder="1" applyAlignment="1" applyProtection="1">
      <alignment horizontal="right"/>
      <protection locked="0"/>
    </xf>
    <xf numFmtId="164" fontId="33" fillId="0" borderId="1" xfId="0" applyNumberFormat="1" applyFont="1" applyBorder="1" applyAlignment="1" applyProtection="1">
      <alignment horizontal="center" wrapText="1"/>
      <protection locked="0"/>
    </xf>
    <xf numFmtId="0" fontId="2" fillId="0" borderId="0" xfId="0" applyFont="1" applyBorder="1" applyAlignment="1">
      <alignment horizontal="left"/>
    </xf>
    <xf numFmtId="0" fontId="2" fillId="0" borderId="0" xfId="0" applyFont="1" applyBorder="1" applyAlignment="1">
      <alignment horizontal="right"/>
    </xf>
    <xf numFmtId="0" fontId="0" fillId="0" borderId="1" xfId="0" applyBorder="1" applyProtection="1">
      <protection locked="0"/>
    </xf>
    <xf numFmtId="164" fontId="33" fillId="0" borderId="1" xfId="0" applyNumberFormat="1" applyFont="1" applyBorder="1" applyAlignment="1" applyProtection="1">
      <alignment horizontal="right"/>
      <protection locked="0"/>
    </xf>
    <xf numFmtId="164" fontId="33" fillId="0" borderId="1" xfId="0" applyNumberFormat="1" applyFont="1" applyBorder="1" applyAlignment="1" applyProtection="1">
      <alignment horizontal="left" wrapText="1"/>
      <protection locked="0"/>
    </xf>
    <xf numFmtId="0" fontId="0" fillId="0" borderId="18" xfId="0" applyFont="1" applyBorder="1" applyAlignment="1" applyProtection="1">
      <alignment wrapText="1"/>
      <protection locked="0"/>
    </xf>
    <xf numFmtId="0" fontId="0" fillId="0" borderId="3" xfId="0" applyFont="1" applyBorder="1" applyAlignment="1" applyProtection="1">
      <alignment wrapText="1"/>
      <protection locked="0"/>
    </xf>
    <xf numFmtId="0" fontId="33" fillId="0" borderId="1" xfId="0" applyFont="1" applyBorder="1" applyAlignment="1" applyProtection="1">
      <alignment wrapText="1"/>
      <protection locked="0"/>
    </xf>
    <xf numFmtId="0" fontId="0" fillId="0" borderId="1" xfId="0" applyBorder="1" applyAlignment="1" applyProtection="1">
      <alignment horizontal="center"/>
      <protection locked="0"/>
    </xf>
    <xf numFmtId="7" fontId="33" fillId="0" borderId="1" xfId="5" applyNumberFormat="1" applyFont="1" applyBorder="1" applyProtection="1">
      <protection locked="0"/>
    </xf>
    <xf numFmtId="0" fontId="33" fillId="0" borderId="1" xfId="0" applyFont="1" applyBorder="1" applyAlignment="1" applyProtection="1">
      <alignment horizontal="center" wrapText="1"/>
      <protection locked="0"/>
    </xf>
    <xf numFmtId="7" fontId="34" fillId="0" borderId="1" xfId="5" applyNumberFormat="1" applyFont="1" applyBorder="1" applyProtection="1">
      <protection locked="0"/>
    </xf>
    <xf numFmtId="164" fontId="39" fillId="0" borderId="0" xfId="0" applyNumberFormat="1" applyFont="1"/>
    <xf numFmtId="0" fontId="33" fillId="0" borderId="1" xfId="0" applyFont="1" applyBorder="1" applyAlignment="1" applyProtection="1">
      <alignment horizontal="left" wrapText="1"/>
      <protection locked="0"/>
    </xf>
    <xf numFmtId="164" fontId="2" fillId="0" borderId="0" xfId="0" applyNumberFormat="1" applyFont="1" applyAlignment="1">
      <alignment horizontal="center" wrapText="1"/>
    </xf>
    <xf numFmtId="164" fontId="0" fillId="0" borderId="0" xfId="0" applyNumberFormat="1" applyAlignment="1">
      <alignment horizontal="center"/>
    </xf>
    <xf numFmtId="0" fontId="33" fillId="0" borderId="1" xfId="0" applyFont="1" applyFill="1" applyBorder="1" applyAlignment="1" applyProtection="1">
      <alignment horizontal="center" wrapText="1"/>
      <protection locked="0"/>
    </xf>
    <xf numFmtId="164" fontId="33" fillId="0" borderId="1" xfId="0" applyNumberFormat="1" applyFont="1" applyFill="1" applyBorder="1" applyAlignment="1" applyProtection="1">
      <alignment horizontal="right"/>
      <protection locked="0"/>
    </xf>
    <xf numFmtId="164" fontId="33" fillId="0" borderId="28" xfId="0" applyNumberFormat="1" applyFont="1" applyBorder="1" applyAlignment="1" applyProtection="1">
      <alignment horizontal="right"/>
      <protection locked="0"/>
    </xf>
    <xf numFmtId="0" fontId="33" fillId="0" borderId="28" xfId="0" applyFont="1" applyBorder="1" applyAlignment="1" applyProtection="1">
      <alignment horizontal="center" wrapText="1"/>
      <protection locked="0"/>
    </xf>
    <xf numFmtId="164" fontId="33" fillId="17" borderId="1" xfId="0" applyNumberFormat="1" applyFont="1" applyFill="1" applyBorder="1" applyAlignment="1" applyProtection="1">
      <alignment horizontal="right"/>
      <protection locked="0"/>
    </xf>
    <xf numFmtId="0" fontId="35" fillId="0" borderId="32" xfId="0" applyFont="1" applyFill="1" applyBorder="1" applyAlignment="1" applyProtection="1">
      <alignment wrapText="1"/>
      <protection locked="0"/>
    </xf>
    <xf numFmtId="0" fontId="35" fillId="0" borderId="33" xfId="0" applyFont="1" applyFill="1" applyBorder="1" applyAlignment="1" applyProtection="1">
      <alignment wrapText="1"/>
      <protection locked="0"/>
    </xf>
    <xf numFmtId="0" fontId="33" fillId="17" borderId="38" xfId="0" applyFont="1" applyFill="1" applyBorder="1" applyAlignment="1" applyProtection="1">
      <alignment horizontal="center" wrapText="1"/>
      <protection locked="0"/>
    </xf>
    <xf numFmtId="0" fontId="0" fillId="11" borderId="2" xfId="0" applyFill="1" applyBorder="1" applyAlignment="1" applyProtection="1">
      <alignment horizontal="center"/>
      <protection locked="0"/>
    </xf>
    <xf numFmtId="0" fontId="0" fillId="11" borderId="3" xfId="0" applyFill="1" applyBorder="1" applyAlignment="1" applyProtection="1">
      <alignment horizontal="center"/>
      <protection locked="0"/>
    </xf>
    <xf numFmtId="0" fontId="0" fillId="11" borderId="1" xfId="0" applyFill="1" applyBorder="1" applyAlignment="1" applyProtection="1">
      <alignment horizontal="center"/>
      <protection locked="0"/>
    </xf>
    <xf numFmtId="0" fontId="0" fillId="11" borderId="2" xfId="0" applyFill="1" applyBorder="1" applyProtection="1">
      <protection locked="0"/>
    </xf>
    <xf numFmtId="164" fontId="0" fillId="11" borderId="1" xfId="0" applyNumberFormat="1" applyFill="1" applyBorder="1" applyAlignment="1" applyProtection="1">
      <alignment horizontal="right"/>
      <protection locked="0"/>
    </xf>
    <xf numFmtId="164" fontId="33" fillId="11" borderId="1" xfId="0" applyNumberFormat="1" applyFont="1" applyFill="1" applyBorder="1" applyAlignment="1" applyProtection="1">
      <alignment horizontal="left" wrapText="1"/>
      <protection locked="0"/>
    </xf>
    <xf numFmtId="164" fontId="33" fillId="11" borderId="1" xfId="0" applyNumberFormat="1" applyFont="1" applyFill="1" applyBorder="1" applyAlignment="1" applyProtection="1">
      <alignment horizontal="right"/>
      <protection locked="0"/>
    </xf>
    <xf numFmtId="0" fontId="0" fillId="11" borderId="1" xfId="0" applyFill="1" applyBorder="1" applyAlignment="1" applyProtection="1">
      <alignment horizontal="center" wrapText="1"/>
      <protection locked="0"/>
    </xf>
    <xf numFmtId="0" fontId="0" fillId="11" borderId="0" xfId="0" applyFill="1" applyProtection="1">
      <protection locked="0"/>
    </xf>
    <xf numFmtId="164" fontId="33" fillId="17" borderId="37" xfId="0" applyNumberFormat="1" applyFont="1" applyFill="1" applyBorder="1" applyAlignment="1" applyProtection="1">
      <alignment horizontal="right"/>
      <protection locked="0"/>
    </xf>
    <xf numFmtId="0" fontId="0" fillId="17" borderId="39" xfId="0" applyFont="1" applyFill="1" applyBorder="1" applyAlignment="1" applyProtection="1">
      <alignment wrapText="1"/>
      <protection locked="0"/>
    </xf>
    <xf numFmtId="164" fontId="33" fillId="0" borderId="37" xfId="0" applyNumberFormat="1" applyFont="1" applyBorder="1" applyAlignment="1" applyProtection="1">
      <alignment horizontal="right"/>
      <protection locked="0"/>
    </xf>
    <xf numFmtId="0" fontId="0" fillId="23" borderId="2" xfId="0" applyFill="1" applyBorder="1" applyAlignment="1" applyProtection="1">
      <alignment horizontal="center"/>
      <protection locked="0"/>
    </xf>
    <xf numFmtId="0" fontId="0" fillId="23" borderId="3" xfId="0" applyFill="1" applyBorder="1" applyAlignment="1" applyProtection="1">
      <alignment horizontal="center"/>
      <protection locked="0"/>
    </xf>
    <xf numFmtId="0" fontId="0" fillId="23" borderId="1" xfId="0" applyFill="1" applyBorder="1" applyAlignment="1" applyProtection="1">
      <alignment horizontal="center"/>
      <protection locked="0"/>
    </xf>
    <xf numFmtId="0" fontId="0" fillId="23" borderId="2" xfId="0" applyFill="1" applyBorder="1" applyProtection="1">
      <protection locked="0"/>
    </xf>
    <xf numFmtId="164" fontId="0" fillId="23" borderId="1" xfId="0" applyNumberFormat="1" applyFill="1" applyBorder="1" applyAlignment="1" applyProtection="1">
      <alignment horizontal="right"/>
      <protection locked="0"/>
    </xf>
    <xf numFmtId="164" fontId="33" fillId="23" borderId="1" xfId="0" applyNumberFormat="1" applyFont="1" applyFill="1" applyBorder="1" applyAlignment="1" applyProtection="1">
      <alignment horizontal="left" wrapText="1"/>
      <protection locked="0"/>
    </xf>
    <xf numFmtId="164" fontId="33" fillId="23" borderId="1" xfId="0" applyNumberFormat="1" applyFont="1" applyFill="1" applyBorder="1" applyAlignment="1" applyProtection="1">
      <alignment horizontal="right"/>
      <protection locked="0"/>
    </xf>
    <xf numFmtId="0" fontId="0" fillId="23" borderId="1" xfId="0" applyFill="1" applyBorder="1" applyAlignment="1" applyProtection="1">
      <alignment horizontal="center" wrapText="1"/>
      <protection locked="0"/>
    </xf>
    <xf numFmtId="0" fontId="0" fillId="23" borderId="0" xfId="0" applyFill="1" applyProtection="1">
      <protection locked="0"/>
    </xf>
    <xf numFmtId="164" fontId="0" fillId="23" borderId="1" xfId="0" applyNumberFormat="1" applyFill="1" applyBorder="1" applyAlignment="1" applyProtection="1">
      <alignment horizontal="center" wrapText="1"/>
      <protection locked="0"/>
    </xf>
    <xf numFmtId="164" fontId="41" fillId="23" borderId="1" xfId="0" applyNumberFormat="1" applyFont="1" applyFill="1" applyBorder="1" applyAlignment="1" applyProtection="1">
      <alignment horizontal="right"/>
      <protection locked="0"/>
    </xf>
    <xf numFmtId="0" fontId="33" fillId="23" borderId="1" xfId="0" applyFont="1" applyFill="1" applyBorder="1" applyAlignment="1" applyProtection="1">
      <alignment horizontal="center" wrapText="1"/>
      <protection locked="0"/>
    </xf>
    <xf numFmtId="0" fontId="33" fillId="23" borderId="0" xfId="0" applyFont="1" applyFill="1" applyProtection="1">
      <protection locked="0"/>
    </xf>
    <xf numFmtId="0" fontId="0" fillId="23" borderId="1" xfId="0" applyFill="1" applyBorder="1" applyProtection="1">
      <protection locked="0"/>
    </xf>
    <xf numFmtId="7" fontId="33" fillId="23" borderId="1" xfId="5" applyNumberFormat="1" applyFont="1" applyFill="1" applyBorder="1" applyProtection="1">
      <protection locked="0"/>
    </xf>
    <xf numFmtId="0" fontId="33" fillId="23" borderId="1" xfId="0" applyFont="1" applyFill="1" applyBorder="1" applyAlignment="1" applyProtection="1">
      <alignment horizontal="left" wrapText="1"/>
      <protection locked="0"/>
    </xf>
    <xf numFmtId="164" fontId="42" fillId="0" borderId="0" xfId="0" applyNumberFormat="1" applyFont="1" applyProtection="1">
      <protection locked="0"/>
    </xf>
    <xf numFmtId="164" fontId="2" fillId="23" borderId="0" xfId="0" applyNumberFormat="1" applyFont="1" applyFill="1" applyProtection="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5" fillId="0" borderId="15" xfId="3" applyBorder="1" applyAlignment="1" applyProtection="1">
      <alignment horizontal="left"/>
    </xf>
    <xf numFmtId="0" fontId="3" fillId="18" borderId="0" xfId="0" applyFont="1" applyFill="1" applyAlignment="1">
      <alignment horizontal="left"/>
    </xf>
    <xf numFmtId="0" fontId="3"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4" fillId="3" borderId="13" xfId="0" applyFont="1" applyFill="1" applyBorder="1" applyAlignment="1">
      <alignment horizontal="center"/>
    </xf>
    <xf numFmtId="0" fontId="0" fillId="23" borderId="7" xfId="0" applyFill="1" applyBorder="1" applyAlignment="1">
      <alignment horizontal="left" vertical="top" wrapText="1"/>
    </xf>
    <xf numFmtId="0" fontId="0" fillId="23" borderId="8" xfId="0" applyFill="1" applyBorder="1" applyAlignment="1">
      <alignment horizontal="left" vertical="top" wrapText="1"/>
    </xf>
    <xf numFmtId="0" fontId="0" fillId="23" borderId="9" xfId="0" applyFill="1" applyBorder="1" applyAlignment="1">
      <alignment horizontal="left" vertical="top" wrapText="1"/>
    </xf>
    <xf numFmtId="0" fontId="0" fillId="23" borderId="10" xfId="0" applyFill="1" applyBorder="1" applyAlignment="1">
      <alignment horizontal="left" vertical="top" wrapText="1"/>
    </xf>
    <xf numFmtId="0" fontId="0" fillId="23" borderId="0" xfId="0" applyFill="1" applyBorder="1" applyAlignment="1">
      <alignment horizontal="left" vertical="top" wrapText="1"/>
    </xf>
    <xf numFmtId="0" fontId="0" fillId="23" borderId="11" xfId="0" applyFill="1" applyBorder="1" applyAlignment="1">
      <alignment horizontal="left" vertical="top" wrapText="1"/>
    </xf>
    <xf numFmtId="0" fontId="0" fillId="23" borderId="12" xfId="0" applyFill="1" applyBorder="1" applyAlignment="1">
      <alignment horizontal="left" vertical="top" wrapText="1"/>
    </xf>
    <xf numFmtId="0" fontId="0" fillId="23" borderId="13" xfId="0" applyFill="1" applyBorder="1" applyAlignment="1">
      <alignment horizontal="left" vertical="top" wrapText="1"/>
    </xf>
    <xf numFmtId="0" fontId="0" fillId="23" borderId="14" xfId="0" applyFill="1" applyBorder="1" applyAlignment="1">
      <alignment horizontal="left" vertical="top" wrapText="1"/>
    </xf>
    <xf numFmtId="0" fontId="0" fillId="23" borderId="0" xfId="0" applyFill="1" applyAlignment="1">
      <alignment horizontal="left" vertical="top" wrapText="1"/>
    </xf>
    <xf numFmtId="0" fontId="33" fillId="23" borderId="1" xfId="0" applyFont="1" applyFill="1" applyBorder="1" applyAlignment="1" applyProtection="1">
      <alignment horizontal="left" wrapText="1"/>
      <protection locked="0"/>
    </xf>
    <xf numFmtId="0" fontId="0" fillId="17" borderId="31" xfId="0" applyFont="1" applyFill="1" applyBorder="1" applyAlignment="1" applyProtection="1">
      <alignment horizontal="left" wrapText="1"/>
      <protection locked="0"/>
    </xf>
    <xf numFmtId="0" fontId="35" fillId="17" borderId="32" xfId="0" applyFont="1" applyFill="1" applyBorder="1" applyAlignment="1" applyProtection="1">
      <alignment horizontal="left"/>
      <protection locked="0"/>
    </xf>
    <xf numFmtId="0" fontId="35" fillId="17" borderId="33" xfId="0" applyFont="1" applyFill="1" applyBorder="1" applyAlignment="1" applyProtection="1">
      <alignment horizontal="left"/>
      <protection locked="0"/>
    </xf>
    <xf numFmtId="0" fontId="34" fillId="0" borderId="2" xfId="0" applyFont="1" applyBorder="1" applyAlignment="1" applyProtection="1">
      <alignment horizontal="left"/>
      <protection locked="0"/>
    </xf>
    <xf numFmtId="0" fontId="34" fillId="0" borderId="18" xfId="0" applyFont="1" applyBorder="1" applyAlignment="1" applyProtection="1">
      <alignment horizontal="left"/>
      <protection locked="0"/>
    </xf>
    <xf numFmtId="0" fontId="34" fillId="0" borderId="3" xfId="0" applyFont="1" applyBorder="1" applyAlignment="1" applyProtection="1">
      <alignment horizontal="left"/>
      <protection locked="0"/>
    </xf>
    <xf numFmtId="0" fontId="40" fillId="23" borderId="2" xfId="0" applyFont="1" applyFill="1" applyBorder="1" applyAlignment="1" applyProtection="1">
      <alignment horizontal="center" wrapText="1"/>
      <protection locked="0"/>
    </xf>
    <xf numFmtId="0" fontId="0" fillId="23" borderId="18" xfId="0" applyFill="1" applyBorder="1" applyAlignment="1" applyProtection="1">
      <alignment horizontal="center" wrapText="1"/>
      <protection locked="0"/>
    </xf>
    <xf numFmtId="0" fontId="0" fillId="23" borderId="3" xfId="0" applyFill="1" applyBorder="1" applyAlignment="1" applyProtection="1">
      <alignment horizontal="center" wrapText="1"/>
      <protection locked="0"/>
    </xf>
    <xf numFmtId="0" fontId="33" fillId="0" borderId="1" xfId="0" applyFont="1" applyBorder="1" applyAlignment="1" applyProtection="1">
      <alignment horizontal="left"/>
      <protection locked="0"/>
    </xf>
    <xf numFmtId="0" fontId="0" fillId="0" borderId="2" xfId="0" applyFont="1" applyBorder="1" applyAlignment="1" applyProtection="1">
      <alignment horizontal="center"/>
      <protection locked="0"/>
    </xf>
    <xf numFmtId="0" fontId="0" fillId="0" borderId="18"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36" fillId="17" borderId="31" xfId="0" applyFont="1" applyFill="1" applyBorder="1" applyAlignment="1" applyProtection="1">
      <alignment horizontal="left" wrapText="1"/>
      <protection locked="0"/>
    </xf>
    <xf numFmtId="0" fontId="0" fillId="0" borderId="31" xfId="0" applyFont="1" applyBorder="1" applyAlignment="1" applyProtection="1">
      <alignment horizontal="left" wrapText="1"/>
      <protection locked="0"/>
    </xf>
    <xf numFmtId="0" fontId="35" fillId="0" borderId="32" xfId="0" applyFont="1" applyBorder="1" applyAlignment="1" applyProtection="1">
      <alignment horizontal="left"/>
      <protection locked="0"/>
    </xf>
    <xf numFmtId="0" fontId="35" fillId="0" borderId="33" xfId="0" applyFont="1" applyBorder="1" applyAlignment="1" applyProtection="1">
      <alignment horizontal="left"/>
      <protection locked="0"/>
    </xf>
    <xf numFmtId="0" fontId="10" fillId="5" borderId="22" xfId="0" applyFont="1" applyFill="1" applyBorder="1" applyAlignment="1">
      <alignment horizontal="center"/>
    </xf>
    <xf numFmtId="0" fontId="34" fillId="17" borderId="2" xfId="0" applyFont="1" applyFill="1" applyBorder="1" applyAlignment="1" applyProtection="1">
      <alignment wrapText="1"/>
      <protection locked="0"/>
    </xf>
    <xf numFmtId="0" fontId="34" fillId="17" borderId="18" xfId="0" applyFont="1" applyFill="1" applyBorder="1" applyAlignment="1" applyProtection="1">
      <alignment wrapText="1"/>
      <protection locked="0"/>
    </xf>
    <xf numFmtId="0" fontId="34" fillId="17" borderId="3" xfId="0" applyFont="1" applyFill="1" applyBorder="1" applyAlignment="1" applyProtection="1">
      <alignment wrapText="1"/>
      <protection locked="0"/>
    </xf>
    <xf numFmtId="0" fontId="34" fillId="0" borderId="2" xfId="0" applyFont="1" applyBorder="1" applyAlignment="1" applyProtection="1">
      <alignment wrapText="1"/>
      <protection locked="0"/>
    </xf>
    <xf numFmtId="0" fontId="34" fillId="0" borderId="18" xfId="0" applyFont="1" applyBorder="1" applyAlignment="1" applyProtection="1">
      <alignment wrapText="1"/>
      <protection locked="0"/>
    </xf>
    <xf numFmtId="0" fontId="34" fillId="0" borderId="3" xfId="0" applyFont="1" applyBorder="1" applyAlignment="1" applyProtection="1">
      <alignment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40" fillId="23" borderId="18" xfId="0" applyFont="1" applyFill="1" applyBorder="1" applyAlignment="1" applyProtection="1">
      <alignment horizontal="center" wrapText="1"/>
      <protection locked="0"/>
    </xf>
    <xf numFmtId="0" fontId="40" fillId="23" borderId="3" xfId="0" applyFont="1" applyFill="1" applyBorder="1" applyAlignment="1" applyProtection="1">
      <alignment horizontal="center" wrapText="1"/>
      <protection locked="0"/>
    </xf>
    <xf numFmtId="0" fontId="0" fillId="11" borderId="2" xfId="0" applyFill="1" applyBorder="1" applyAlignment="1" applyProtection="1">
      <alignment horizontal="center" wrapText="1"/>
      <protection locked="0"/>
    </xf>
    <xf numFmtId="0" fontId="0" fillId="11" borderId="18" xfId="0" applyFill="1" applyBorder="1" applyAlignment="1" applyProtection="1">
      <alignment horizontal="center" wrapText="1"/>
      <protection locked="0"/>
    </xf>
    <xf numFmtId="0" fontId="0" fillId="11" borderId="3" xfId="0" applyFill="1" applyBorder="1" applyAlignment="1" applyProtection="1">
      <alignment horizontal="center" wrapText="1"/>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0" fillId="0" borderId="2" xfId="0" applyBorder="1" applyAlignment="1" applyProtection="1">
      <alignment horizontal="left"/>
      <protection locked="0"/>
    </xf>
    <xf numFmtId="0" fontId="0" fillId="0" borderId="18" xfId="0" applyBorder="1" applyAlignment="1" applyProtection="1">
      <alignment horizontal="left"/>
      <protection locked="0"/>
    </xf>
    <xf numFmtId="0" fontId="0" fillId="0" borderId="3" xfId="0" applyBorder="1" applyAlignment="1" applyProtection="1">
      <alignment horizontal="left"/>
      <protection locked="0"/>
    </xf>
    <xf numFmtId="0" fontId="0" fillId="0" borderId="15"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34" fillId="0" borderId="2" xfId="0" applyFont="1" applyFill="1" applyBorder="1" applyAlignment="1" applyProtection="1">
      <alignment horizontal="left" wrapText="1"/>
      <protection locked="0"/>
    </xf>
    <xf numFmtId="0" fontId="34" fillId="0" borderId="18" xfId="0" applyFont="1" applyFill="1" applyBorder="1" applyAlignment="1" applyProtection="1">
      <alignment horizontal="left" wrapText="1"/>
      <protection locked="0"/>
    </xf>
    <xf numFmtId="0" fontId="34" fillId="0" borderId="3" xfId="0" applyFont="1" applyFill="1" applyBorder="1" applyAlignment="1" applyProtection="1">
      <alignment horizontal="left" wrapText="1"/>
      <protection locked="0"/>
    </xf>
    <xf numFmtId="0" fontId="0" fillId="17" borderId="2" xfId="0" applyFill="1" applyBorder="1" applyAlignment="1" applyProtection="1">
      <alignment horizontal="left"/>
      <protection locked="0"/>
    </xf>
    <xf numFmtId="0" fontId="0" fillId="17" borderId="18" xfId="0" applyFill="1" applyBorder="1" applyAlignment="1" applyProtection="1">
      <alignment horizontal="left"/>
      <protection locked="0"/>
    </xf>
    <xf numFmtId="0" fontId="0" fillId="17" borderId="3" xfId="0" applyFill="1" applyBorder="1" applyAlignment="1" applyProtection="1">
      <alignment horizontal="left"/>
      <protection locked="0"/>
    </xf>
    <xf numFmtId="0" fontId="33" fillId="23" borderId="1" xfId="0" applyFont="1" applyFill="1" applyBorder="1" applyAlignment="1" applyProtection="1">
      <alignment horizontal="center" wrapText="1"/>
      <protection locked="0"/>
    </xf>
    <xf numFmtId="0" fontId="0" fillId="0" borderId="34" xfId="0" applyBorder="1" applyAlignment="1" applyProtection="1">
      <alignment horizontal="left" wrapText="1"/>
      <protection locked="0"/>
    </xf>
    <xf numFmtId="0" fontId="0" fillId="0" borderId="35" xfId="0" applyBorder="1" applyAlignment="1" applyProtection="1">
      <alignment horizontal="left" wrapText="1"/>
      <protection locked="0"/>
    </xf>
    <xf numFmtId="0" fontId="0" fillId="0" borderId="36" xfId="0" applyBorder="1" applyAlignment="1" applyProtection="1">
      <alignment horizontal="left" wrapText="1"/>
      <protection locked="0"/>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Font="1" applyBorder="1" applyAlignment="1" applyProtection="1">
      <alignment horizontal="left" wrapText="1"/>
      <protection locked="0"/>
    </xf>
    <xf numFmtId="0" fontId="0" fillId="0" borderId="18"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9" fillId="0" borderId="0" xfId="0" applyFont="1" applyAlignment="1">
      <alignment horizontal="center" vertical="center" wrapText="1"/>
    </xf>
    <xf numFmtId="165" fontId="25" fillId="14" borderId="0" xfId="2" applyNumberFormat="1" applyFont="1" applyFill="1" applyAlignment="1">
      <alignment horizontal="center" vertical="center"/>
    </xf>
    <xf numFmtId="165" fontId="18" fillId="14" borderId="0" xfId="2" applyNumberFormat="1" applyFont="1" applyFill="1" applyAlignment="1">
      <alignment vertical="center"/>
    </xf>
    <xf numFmtId="166" fontId="26" fillId="15" borderId="22" xfId="2" applyNumberFormat="1" applyFont="1" applyFill="1" applyBorder="1" applyAlignment="1">
      <alignment horizontal="left" vertical="center"/>
    </xf>
    <xf numFmtId="1" fontId="19" fillId="0" borderId="0" xfId="2" applyNumberFormat="1" applyFont="1" applyAlignment="1">
      <alignment horizontal="left" vertical="top" wrapText="1"/>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Alignment="1">
      <alignment horizontal="center" vertical="center"/>
    </xf>
    <xf numFmtId="0" fontId="12" fillId="0" borderId="2" xfId="2" applyBorder="1" applyAlignment="1">
      <alignment horizontal="center"/>
    </xf>
    <xf numFmtId="0" fontId="12" fillId="0" borderId="3" xfId="2" applyBorder="1" applyAlignment="1">
      <alignment horizontal="center"/>
    </xf>
    <xf numFmtId="0" fontId="28" fillId="18" borderId="0" xfId="2" applyFont="1" applyFill="1" applyAlignment="1">
      <alignment horizontal="center" vertical="center" shrinkToFit="1"/>
    </xf>
    <xf numFmtId="0" fontId="28" fillId="22" borderId="0" xfId="2" applyFont="1" applyFill="1" applyAlignment="1">
      <alignment horizontal="center" vertical="center"/>
    </xf>
    <xf numFmtId="1" fontId="28" fillId="16" borderId="0" xfId="2" applyNumberFormat="1" applyFont="1" applyFill="1" applyAlignment="1">
      <alignment horizontal="center"/>
    </xf>
    <xf numFmtId="0" fontId="13" fillId="13" borderId="0" xfId="2" applyFont="1" applyFill="1"/>
    <xf numFmtId="0" fontId="16" fillId="13" borderId="0" xfId="3" applyFont="1" applyFill="1" applyAlignment="1" applyProtection="1">
      <alignment horizontal="left"/>
    </xf>
    <xf numFmtId="0" fontId="12" fillId="13" borderId="0" xfId="2" applyFill="1" applyAlignment="1">
      <alignment horizontal="right"/>
    </xf>
    <xf numFmtId="0" fontId="12" fillId="13" borderId="29" xfId="2" applyFill="1" applyBorder="1" applyAlignment="1">
      <alignment horizontal="right"/>
    </xf>
    <xf numFmtId="0" fontId="12" fillId="0" borderId="18" xfId="2" applyBorder="1" applyAlignment="1">
      <alignment horizontal="center"/>
    </xf>
  </cellXfs>
  <cellStyles count="6">
    <cellStyle name="Comma 2" xfId="4" xr:uid="{00000000-0005-0000-0000-000000000000}"/>
    <cellStyle name="Currency" xfId="5" builtinId="4"/>
    <cellStyle name="Good" xfId="1" builtinId="26"/>
    <cellStyle name="Hyperlink" xfId="3" builtinId="8"/>
    <cellStyle name="Normal" xfId="0" builtinId="0"/>
    <cellStyle name="Normal 2" xfId="2" xr:uid="{00000000-0005-0000-0000-000005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FC7C3"/>
      <color rgb="FFED6F93"/>
      <color rgb="FFADF5F3"/>
      <color rgb="FFD6B4E4"/>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31B18DA-AB6E-4560-A569-1DFE5997EC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4440" y="11430"/>
          <a:ext cx="1022985" cy="207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masau@dawson.edu" TargetMode="External"/><Relationship Id="rId2" Type="http://schemas.openxmlformats.org/officeDocument/2006/relationships/hyperlink" Target="mailto:scela@dawson.edu"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15" workbookViewId="0">
      <selection activeCell="L40" sqref="L40:N40"/>
    </sheetView>
  </sheetViews>
  <sheetFormatPr defaultColWidth="8.81640625" defaultRowHeight="14.5"/>
  <cols>
    <col min="1" max="1" width="10.7265625" customWidth="1"/>
    <col min="3" max="3" width="9.45312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8" ht="21">
      <c r="A1" s="36" t="s">
        <v>196</v>
      </c>
      <c r="B1" s="36"/>
      <c r="C1" s="36"/>
    </row>
    <row r="3" spans="1:8">
      <c r="A3" s="264" t="s">
        <v>42</v>
      </c>
      <c r="B3" s="264"/>
      <c r="C3" s="264"/>
      <c r="D3" s="264"/>
      <c r="E3" s="264"/>
      <c r="F3" s="264"/>
      <c r="G3" s="264"/>
      <c r="H3" s="264"/>
    </row>
    <row r="5" spans="1:8">
      <c r="A5" s="264" t="s">
        <v>188</v>
      </c>
      <c r="B5" s="264"/>
      <c r="C5" s="264"/>
      <c r="D5" s="264"/>
    </row>
    <row r="6" spans="1:8">
      <c r="A6" s="264" t="s">
        <v>181</v>
      </c>
      <c r="B6" s="264"/>
      <c r="C6" s="264"/>
    </row>
    <row r="7" spans="1:8">
      <c r="A7" s="264" t="s">
        <v>43</v>
      </c>
      <c r="B7" s="264"/>
      <c r="C7" s="264"/>
    </row>
    <row r="9" spans="1:8">
      <c r="A9" s="264" t="s">
        <v>189</v>
      </c>
      <c r="B9" s="264"/>
      <c r="C9" s="264"/>
      <c r="D9" s="264"/>
    </row>
    <row r="11" spans="1:8" ht="15" thickBot="1"/>
    <row r="12" spans="1:8" ht="15" thickBot="1">
      <c r="A12" s="1" t="s">
        <v>61</v>
      </c>
      <c r="B12" s="255" t="s">
        <v>200</v>
      </c>
      <c r="C12" s="256"/>
      <c r="D12" s="256"/>
      <c r="E12" s="257"/>
      <c r="G12" s="1" t="s">
        <v>62</v>
      </c>
      <c r="H12" s="14" t="s">
        <v>201</v>
      </c>
    </row>
    <row r="15" spans="1:8">
      <c r="A15" s="1" t="s">
        <v>198</v>
      </c>
    </row>
    <row r="16" spans="1:8" ht="15" thickBot="1"/>
    <row r="17" spans="1:17" ht="15" thickBot="1">
      <c r="A17" s="1" t="s">
        <v>44</v>
      </c>
      <c r="B17" s="255" t="s">
        <v>202</v>
      </c>
      <c r="C17" s="256"/>
      <c r="D17" s="256"/>
      <c r="E17" s="256"/>
      <c r="F17" s="256"/>
      <c r="G17" s="256"/>
      <c r="H17" s="256"/>
      <c r="I17" s="257"/>
      <c r="K17" s="1" t="s">
        <v>45</v>
      </c>
      <c r="L17" s="255" t="s">
        <v>203</v>
      </c>
      <c r="M17" s="256"/>
      <c r="N17" s="256"/>
      <c r="O17" s="256"/>
      <c r="P17" s="256"/>
      <c r="Q17" s="257"/>
    </row>
    <row r="18" spans="1:17" ht="15" thickBot="1"/>
    <row r="19" spans="1:17">
      <c r="A19" s="1" t="s">
        <v>46</v>
      </c>
      <c r="B19" s="258" t="s">
        <v>204</v>
      </c>
      <c r="C19" s="259"/>
      <c r="D19" s="259"/>
      <c r="E19" s="259"/>
      <c r="F19" s="259"/>
      <c r="G19" s="259"/>
      <c r="H19" s="259"/>
      <c r="I19" s="260"/>
    </row>
    <row r="20" spans="1:17" ht="15" thickBot="1">
      <c r="B20" s="261"/>
      <c r="C20" s="262"/>
      <c r="D20" s="262"/>
      <c r="E20" s="262"/>
      <c r="F20" s="262"/>
      <c r="G20" s="262"/>
      <c r="H20" s="262"/>
      <c r="I20" s="263"/>
    </row>
    <row r="21" spans="1:17" ht="15" thickBot="1"/>
    <row r="22" spans="1:17" ht="15" thickBot="1">
      <c r="A22" s="1" t="s">
        <v>47</v>
      </c>
      <c r="B22" s="255" t="s">
        <v>205</v>
      </c>
      <c r="C22" s="256"/>
      <c r="D22" s="256"/>
      <c r="E22" s="256"/>
      <c r="F22" s="256"/>
      <c r="G22" s="256"/>
      <c r="H22" s="256"/>
      <c r="I22" s="257"/>
      <c r="K22" s="1" t="s">
        <v>48</v>
      </c>
      <c r="L22" s="255" t="s">
        <v>207</v>
      </c>
      <c r="M22" s="257"/>
      <c r="O22" s="1" t="s">
        <v>49</v>
      </c>
      <c r="P22" s="255">
        <v>59330</v>
      </c>
      <c r="Q22" s="257"/>
    </row>
    <row r="23" spans="1:17" ht="15" thickBot="1"/>
    <row r="24" spans="1:17" ht="15" thickBot="1">
      <c r="A24" s="1" t="s">
        <v>50</v>
      </c>
      <c r="B24" s="255" t="s">
        <v>206</v>
      </c>
      <c r="C24" s="257"/>
      <c r="D24" s="2" t="s">
        <v>54</v>
      </c>
      <c r="E24" s="14"/>
      <c r="G24" s="1" t="s">
        <v>51</v>
      </c>
      <c r="H24" s="255" t="s">
        <v>209</v>
      </c>
      <c r="I24" s="257"/>
      <c r="K24" s="1" t="s">
        <v>52</v>
      </c>
      <c r="L24" s="265" t="s">
        <v>208</v>
      </c>
      <c r="M24" s="256"/>
      <c r="N24" s="257"/>
    </row>
    <row r="28" spans="1:17" ht="15.5">
      <c r="A28" s="266" t="s">
        <v>53</v>
      </c>
      <c r="B28" s="266"/>
    </row>
    <row r="29" spans="1:17" ht="15" thickBot="1"/>
    <row r="30" spans="1:17" ht="15" thickBot="1">
      <c r="A30" s="1" t="s">
        <v>44</v>
      </c>
      <c r="B30" s="255" t="s">
        <v>210</v>
      </c>
      <c r="C30" s="256"/>
      <c r="D30" s="256"/>
      <c r="E30" s="256"/>
      <c r="F30" s="256"/>
      <c r="G30" s="256"/>
      <c r="H30" s="256"/>
      <c r="I30" s="257"/>
      <c r="K30" s="1" t="s">
        <v>45</v>
      </c>
      <c r="L30" s="255" t="s">
        <v>211</v>
      </c>
      <c r="M30" s="256"/>
      <c r="N30" s="256"/>
      <c r="O30" s="256"/>
      <c r="P30" s="256"/>
      <c r="Q30" s="257"/>
    </row>
    <row r="31" spans="1:17" ht="15" thickBot="1"/>
    <row r="32" spans="1:17" ht="15" thickBot="1">
      <c r="A32" s="1" t="s">
        <v>50</v>
      </c>
      <c r="B32" s="255" t="s">
        <v>212</v>
      </c>
      <c r="C32" s="257"/>
      <c r="D32" s="194" t="s">
        <v>54</v>
      </c>
      <c r="E32" s="14"/>
      <c r="G32" s="1" t="s">
        <v>51</v>
      </c>
      <c r="H32" s="255" t="s">
        <v>209</v>
      </c>
      <c r="I32" s="257"/>
      <c r="K32" s="1" t="s">
        <v>52</v>
      </c>
      <c r="L32" s="255"/>
      <c r="M32" s="256"/>
      <c r="N32" s="257"/>
    </row>
    <row r="36" spans="1:17" ht="15.5">
      <c r="A36" s="267" t="s">
        <v>197</v>
      </c>
      <c r="B36" s="267"/>
      <c r="C36" s="267"/>
      <c r="D36" s="267"/>
      <c r="E36" s="267"/>
    </row>
    <row r="37" spans="1:17" ht="15" thickBot="1"/>
    <row r="38" spans="1:17" ht="15" thickBot="1">
      <c r="A38" s="1" t="s">
        <v>44</v>
      </c>
      <c r="B38" s="255" t="s">
        <v>254</v>
      </c>
      <c r="C38" s="256"/>
      <c r="D38" s="256"/>
      <c r="E38" s="256"/>
      <c r="F38" s="256"/>
      <c r="G38" s="256"/>
      <c r="H38" s="256"/>
      <c r="I38" s="257"/>
      <c r="K38" s="1" t="s">
        <v>45</v>
      </c>
      <c r="L38" s="255" t="s">
        <v>255</v>
      </c>
      <c r="M38" s="256"/>
      <c r="N38" s="256"/>
      <c r="O38" s="256"/>
      <c r="P38" s="256"/>
      <c r="Q38" s="257"/>
    </row>
    <row r="39" spans="1:17" ht="15" thickBot="1"/>
    <row r="40" spans="1:17" ht="15" thickBot="1">
      <c r="A40" s="1" t="s">
        <v>50</v>
      </c>
      <c r="B40" s="255" t="s">
        <v>256</v>
      </c>
      <c r="C40" s="257"/>
      <c r="D40" s="2" t="s">
        <v>54</v>
      </c>
      <c r="E40" s="14"/>
      <c r="G40" s="1" t="s">
        <v>51</v>
      </c>
      <c r="H40" s="255"/>
      <c r="I40" s="257"/>
      <c r="K40" s="1" t="s">
        <v>52</v>
      </c>
      <c r="L40" s="265" t="s">
        <v>257</v>
      </c>
      <c r="M40" s="256"/>
      <c r="N40" s="257"/>
    </row>
    <row r="44" spans="1:17" ht="15.5">
      <c r="A44" s="267" t="s">
        <v>107</v>
      </c>
      <c r="B44" s="267"/>
      <c r="C44" s="267"/>
      <c r="D44" s="267"/>
      <c r="E44" s="267"/>
      <c r="F44" s="267"/>
    </row>
    <row r="46" spans="1:17">
      <c r="A46" s="264" t="s">
        <v>106</v>
      </c>
      <c r="B46" s="264"/>
      <c r="C46" s="264"/>
      <c r="D46" s="264"/>
      <c r="E46" s="264"/>
      <c r="F46" s="264"/>
      <c r="G46" s="264"/>
      <c r="H46" s="264"/>
      <c r="I46" s="264"/>
      <c r="J46" s="264"/>
      <c r="K46" s="264"/>
      <c r="L46" s="264"/>
    </row>
    <row r="47" spans="1:17">
      <c r="A47" s="13"/>
      <c r="C47" s="13"/>
      <c r="D47" s="13"/>
      <c r="E47" s="13"/>
      <c r="F47" s="13"/>
      <c r="G47" s="13"/>
      <c r="H47" s="13"/>
    </row>
    <row r="48" spans="1:17" ht="15" thickBot="1">
      <c r="B48" s="1" t="s">
        <v>103</v>
      </c>
      <c r="C48" s="13"/>
      <c r="D48" s="13"/>
      <c r="F48" s="1" t="s">
        <v>104</v>
      </c>
      <c r="J48" s="1" t="s">
        <v>105</v>
      </c>
    </row>
    <row r="49" spans="1:13" ht="15" thickBot="1">
      <c r="A49" s="3">
        <v>1</v>
      </c>
      <c r="B49" s="255"/>
      <c r="C49" s="256"/>
      <c r="D49" s="257"/>
      <c r="F49" s="255"/>
      <c r="G49" s="256"/>
      <c r="H49" s="257"/>
      <c r="J49" s="255"/>
      <c r="K49" s="256"/>
      <c r="L49" s="256"/>
      <c r="M49" s="257"/>
    </row>
    <row r="50" spans="1:13" ht="15" thickBot="1">
      <c r="A50" s="3">
        <v>2</v>
      </c>
      <c r="B50" s="255"/>
      <c r="C50" s="256"/>
      <c r="D50" s="257"/>
      <c r="F50" s="255"/>
      <c r="G50" s="256"/>
      <c r="H50" s="257"/>
      <c r="J50" s="255"/>
      <c r="K50" s="256"/>
      <c r="L50" s="256"/>
      <c r="M50" s="257"/>
    </row>
    <row r="51" spans="1:13" ht="15" thickBot="1">
      <c r="A51" s="3">
        <v>3</v>
      </c>
      <c r="B51" s="255"/>
      <c r="C51" s="256"/>
      <c r="D51" s="257"/>
      <c r="F51" s="255"/>
      <c r="G51" s="256"/>
      <c r="H51" s="257"/>
      <c r="J51" s="255"/>
      <c r="K51" s="256"/>
      <c r="L51" s="256"/>
      <c r="M51" s="257"/>
    </row>
    <row r="52" spans="1:13" ht="15" thickBot="1">
      <c r="A52" s="3">
        <v>4</v>
      </c>
      <c r="B52" s="255"/>
      <c r="C52" s="256"/>
      <c r="D52" s="257"/>
      <c r="F52" s="255"/>
      <c r="G52" s="256"/>
      <c r="H52" s="257"/>
      <c r="J52" s="255"/>
      <c r="K52" s="256"/>
      <c r="L52" s="256"/>
      <c r="M52" s="257"/>
    </row>
    <row r="53" spans="1:13" ht="15" thickBot="1">
      <c r="A53" s="3">
        <v>5</v>
      </c>
      <c r="B53" s="255"/>
      <c r="C53" s="256"/>
      <c r="D53" s="257"/>
      <c r="F53" s="255"/>
      <c r="G53" s="256"/>
      <c r="H53" s="257"/>
      <c r="J53" s="255"/>
      <c r="K53" s="256"/>
      <c r="L53" s="256"/>
      <c r="M53" s="257"/>
    </row>
    <row r="54" spans="1:13" ht="15" thickBot="1">
      <c r="A54" s="3">
        <v>6</v>
      </c>
      <c r="B54" s="255"/>
      <c r="C54" s="256"/>
      <c r="D54" s="257"/>
      <c r="F54" s="255"/>
      <c r="G54" s="256"/>
      <c r="H54" s="257"/>
      <c r="J54" s="255"/>
      <c r="K54" s="256"/>
      <c r="L54" s="256"/>
      <c r="M54" s="257"/>
    </row>
    <row r="55" spans="1:13" ht="15" thickBot="1">
      <c r="A55" s="3">
        <v>7</v>
      </c>
      <c r="B55" s="255"/>
      <c r="C55" s="256"/>
      <c r="D55" s="257"/>
      <c r="F55" s="255"/>
      <c r="G55" s="256"/>
      <c r="H55" s="257"/>
      <c r="J55" s="255"/>
      <c r="K55" s="256"/>
      <c r="L55" s="256"/>
      <c r="M55" s="257"/>
    </row>
    <row r="56" spans="1:13" ht="15" thickBot="1">
      <c r="A56" s="3">
        <v>8</v>
      </c>
      <c r="B56" s="255"/>
      <c r="C56" s="256"/>
      <c r="D56" s="257"/>
      <c r="F56" s="255"/>
      <c r="G56" s="256"/>
      <c r="H56" s="257"/>
      <c r="J56" s="255"/>
      <c r="K56" s="256"/>
      <c r="L56" s="256"/>
      <c r="M56" s="257"/>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J53:M53"/>
    <mergeCell ref="J54:M54"/>
    <mergeCell ref="J55:M55"/>
    <mergeCell ref="J56:M56"/>
    <mergeCell ref="B12:E12"/>
    <mergeCell ref="A44:F44"/>
    <mergeCell ref="J49:M49"/>
    <mergeCell ref="J50:M50"/>
    <mergeCell ref="J51:M51"/>
    <mergeCell ref="J52:M52"/>
    <mergeCell ref="B38:I38"/>
    <mergeCell ref="B22:I22"/>
    <mergeCell ref="A36:E36"/>
    <mergeCell ref="B49:D49"/>
    <mergeCell ref="A46:L46"/>
    <mergeCell ref="L38:Q38"/>
    <mergeCell ref="B40:C40"/>
    <mergeCell ref="H40:I40"/>
    <mergeCell ref="L40:N40"/>
    <mergeCell ref="A28:B28"/>
    <mergeCell ref="B30:I30"/>
    <mergeCell ref="L30:Q30"/>
    <mergeCell ref="B32:C32"/>
    <mergeCell ref="H32:I32"/>
    <mergeCell ref="L32:N32"/>
    <mergeCell ref="L22:M22"/>
    <mergeCell ref="P22:Q22"/>
    <mergeCell ref="B24:C24"/>
    <mergeCell ref="H24:I24"/>
    <mergeCell ref="L24:N24"/>
    <mergeCell ref="L17:Q17"/>
    <mergeCell ref="B17:I17"/>
    <mergeCell ref="B19:I20"/>
    <mergeCell ref="A3:H3"/>
    <mergeCell ref="A5:D5"/>
    <mergeCell ref="A6:C6"/>
    <mergeCell ref="A7:C7"/>
    <mergeCell ref="A9:D9"/>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s>
  <hyperlinks>
    <hyperlink ref="L24" r:id="rId2" xr:uid="{00000000-0004-0000-0000-000000000000}"/>
    <hyperlink ref="L40" r:id="rId3" xr:uid="{00000000-0004-0000-0000-000001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457"/>
  <sheetViews>
    <sheetView topLeftCell="A212" zoomScale="89" zoomScaleNormal="89" workbookViewId="0">
      <selection activeCell="A243" sqref="A243"/>
    </sheetView>
  </sheetViews>
  <sheetFormatPr defaultColWidth="8.81640625" defaultRowHeight="14.5"/>
  <cols>
    <col min="9" max="9" width="11.453125" customWidth="1"/>
  </cols>
  <sheetData>
    <row r="2" spans="1:25" ht="19" thickBot="1">
      <c r="A2" s="283" t="s">
        <v>63</v>
      </c>
      <c r="B2" s="283"/>
      <c r="C2" s="283"/>
      <c r="D2" s="283"/>
      <c r="E2" s="283"/>
      <c r="F2" s="283"/>
      <c r="H2" s="283" t="s">
        <v>213</v>
      </c>
      <c r="I2" s="283"/>
      <c r="J2" s="283"/>
    </row>
    <row r="3" spans="1:25">
      <c r="A3" s="270" t="s">
        <v>262</v>
      </c>
      <c r="B3" s="271"/>
      <c r="C3" s="271"/>
      <c r="D3" s="271"/>
      <c r="E3" s="271"/>
      <c r="F3" s="271"/>
      <c r="G3" s="271"/>
      <c r="H3" s="271"/>
      <c r="I3" s="271"/>
      <c r="J3" s="271"/>
      <c r="K3" s="271"/>
      <c r="L3" s="271"/>
      <c r="M3" s="271"/>
      <c r="N3" s="271"/>
      <c r="O3" s="271"/>
      <c r="P3" s="271"/>
      <c r="Q3" s="271"/>
      <c r="R3" s="271"/>
      <c r="S3" s="271"/>
      <c r="T3" s="271"/>
      <c r="U3" s="271"/>
      <c r="V3" s="271"/>
      <c r="W3" s="271"/>
      <c r="X3" s="271"/>
      <c r="Y3" s="272"/>
    </row>
    <row r="4" spans="1:25">
      <c r="A4" s="273"/>
      <c r="B4" s="274"/>
      <c r="C4" s="274"/>
      <c r="D4" s="274"/>
      <c r="E4" s="274"/>
      <c r="F4" s="274"/>
      <c r="G4" s="274"/>
      <c r="H4" s="274"/>
      <c r="I4" s="274"/>
      <c r="J4" s="274"/>
      <c r="K4" s="274"/>
      <c r="L4" s="274"/>
      <c r="M4" s="274"/>
      <c r="N4" s="274"/>
      <c r="O4" s="274"/>
      <c r="P4" s="274"/>
      <c r="Q4" s="274"/>
      <c r="R4" s="274"/>
      <c r="S4" s="274"/>
      <c r="T4" s="274"/>
      <c r="U4" s="274"/>
      <c r="V4" s="274"/>
      <c r="W4" s="274"/>
      <c r="X4" s="274"/>
      <c r="Y4" s="275"/>
    </row>
    <row r="5" spans="1:25">
      <c r="A5" s="273"/>
      <c r="B5" s="274"/>
      <c r="C5" s="274"/>
      <c r="D5" s="274"/>
      <c r="E5" s="274"/>
      <c r="F5" s="274"/>
      <c r="G5" s="274"/>
      <c r="H5" s="274"/>
      <c r="I5" s="274"/>
      <c r="J5" s="274"/>
      <c r="K5" s="274"/>
      <c r="L5" s="274"/>
      <c r="M5" s="274"/>
      <c r="N5" s="274"/>
      <c r="O5" s="274"/>
      <c r="P5" s="274"/>
      <c r="Q5" s="274"/>
      <c r="R5" s="274"/>
      <c r="S5" s="274"/>
      <c r="T5" s="274"/>
      <c r="U5" s="274"/>
      <c r="V5" s="274"/>
      <c r="W5" s="274"/>
      <c r="X5" s="274"/>
      <c r="Y5" s="275"/>
    </row>
    <row r="6" spans="1:25">
      <c r="A6" s="273"/>
      <c r="B6" s="274"/>
      <c r="C6" s="274"/>
      <c r="D6" s="274"/>
      <c r="E6" s="274"/>
      <c r="F6" s="274"/>
      <c r="G6" s="274"/>
      <c r="H6" s="274"/>
      <c r="I6" s="274"/>
      <c r="J6" s="274"/>
      <c r="K6" s="274"/>
      <c r="L6" s="274"/>
      <c r="M6" s="274"/>
      <c r="N6" s="274"/>
      <c r="O6" s="274"/>
      <c r="P6" s="274"/>
      <c r="Q6" s="274"/>
      <c r="R6" s="274"/>
      <c r="S6" s="274"/>
      <c r="T6" s="274"/>
      <c r="U6" s="274"/>
      <c r="V6" s="274"/>
      <c r="W6" s="274"/>
      <c r="X6" s="274"/>
      <c r="Y6" s="275"/>
    </row>
    <row r="7" spans="1:25">
      <c r="A7" s="273"/>
      <c r="B7" s="274"/>
      <c r="C7" s="274"/>
      <c r="D7" s="274"/>
      <c r="E7" s="274"/>
      <c r="F7" s="274"/>
      <c r="G7" s="274"/>
      <c r="H7" s="274"/>
      <c r="I7" s="274"/>
      <c r="J7" s="274"/>
      <c r="K7" s="274"/>
      <c r="L7" s="274"/>
      <c r="M7" s="274"/>
      <c r="N7" s="274"/>
      <c r="O7" s="274"/>
      <c r="P7" s="274"/>
      <c r="Q7" s="274"/>
      <c r="R7" s="274"/>
      <c r="S7" s="274"/>
      <c r="T7" s="274"/>
      <c r="U7" s="274"/>
      <c r="V7" s="274"/>
      <c r="W7" s="274"/>
      <c r="X7" s="274"/>
      <c r="Y7" s="275"/>
    </row>
    <row r="8" spans="1:25">
      <c r="A8" s="273"/>
      <c r="B8" s="274"/>
      <c r="C8" s="274"/>
      <c r="D8" s="274"/>
      <c r="E8" s="274"/>
      <c r="F8" s="274"/>
      <c r="G8" s="274"/>
      <c r="H8" s="274"/>
      <c r="I8" s="274"/>
      <c r="J8" s="274"/>
      <c r="K8" s="274"/>
      <c r="L8" s="274"/>
      <c r="M8" s="274"/>
      <c r="N8" s="274"/>
      <c r="O8" s="274"/>
      <c r="P8" s="274"/>
      <c r="Q8" s="274"/>
      <c r="R8" s="274"/>
      <c r="S8" s="274"/>
      <c r="T8" s="274"/>
      <c r="U8" s="274"/>
      <c r="V8" s="274"/>
      <c r="W8" s="274"/>
      <c r="X8" s="274"/>
      <c r="Y8" s="275"/>
    </row>
    <row r="9" spans="1:25">
      <c r="A9" s="273"/>
      <c r="B9" s="274"/>
      <c r="C9" s="274"/>
      <c r="D9" s="274"/>
      <c r="E9" s="274"/>
      <c r="F9" s="274"/>
      <c r="G9" s="274"/>
      <c r="H9" s="274"/>
      <c r="I9" s="274"/>
      <c r="J9" s="274"/>
      <c r="K9" s="274"/>
      <c r="L9" s="274"/>
      <c r="M9" s="274"/>
      <c r="N9" s="274"/>
      <c r="O9" s="274"/>
      <c r="P9" s="274"/>
      <c r="Q9" s="274"/>
      <c r="R9" s="274"/>
      <c r="S9" s="274"/>
      <c r="T9" s="274"/>
      <c r="U9" s="274"/>
      <c r="V9" s="274"/>
      <c r="W9" s="274"/>
      <c r="X9" s="274"/>
      <c r="Y9" s="275"/>
    </row>
    <row r="10" spans="1:25">
      <c r="A10" s="273"/>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5"/>
    </row>
    <row r="11" spans="1:25">
      <c r="A11" s="273"/>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5"/>
    </row>
    <row r="12" spans="1:25">
      <c r="A12" s="273"/>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5"/>
    </row>
    <row r="13" spans="1:25">
      <c r="A13" s="273"/>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5"/>
    </row>
    <row r="14" spans="1:25">
      <c r="A14" s="273"/>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5"/>
    </row>
    <row r="15" spans="1:25">
      <c r="A15" s="273"/>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5"/>
    </row>
    <row r="16" spans="1:25" ht="15" thickBot="1">
      <c r="A16" s="276"/>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8"/>
    </row>
    <row r="18" spans="1:25" ht="15" thickBot="1">
      <c r="A18" s="279" t="s">
        <v>28</v>
      </c>
      <c r="B18" s="279"/>
      <c r="C18" s="279"/>
      <c r="D18" s="279"/>
    </row>
    <row r="19" spans="1:25">
      <c r="A19" s="270" t="s">
        <v>261</v>
      </c>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2"/>
    </row>
    <row r="20" spans="1:25">
      <c r="A20" s="273"/>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5"/>
    </row>
    <row r="21" spans="1:25">
      <c r="A21" s="273"/>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5"/>
    </row>
    <row r="22" spans="1:25">
      <c r="A22" s="273"/>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5"/>
    </row>
    <row r="23" spans="1:25">
      <c r="A23" s="273"/>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5"/>
    </row>
    <row r="24" spans="1:25">
      <c r="A24" s="273"/>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5"/>
    </row>
    <row r="25" spans="1:25" ht="18" customHeight="1" thickBot="1">
      <c r="A25" s="276"/>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8"/>
    </row>
    <row r="27" spans="1:25" ht="15" thickBot="1">
      <c r="A27" s="279" t="s">
        <v>199</v>
      </c>
      <c r="B27" s="279"/>
      <c r="C27" s="279"/>
      <c r="D27" s="279"/>
      <c r="E27" s="279"/>
      <c r="F27" s="279"/>
      <c r="G27" s="279"/>
      <c r="H27" s="279"/>
    </row>
    <row r="28" spans="1:25" ht="15" thickBot="1">
      <c r="A28" s="280" t="s">
        <v>214</v>
      </c>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2"/>
    </row>
    <row r="30" spans="1:25" ht="15" thickBot="1">
      <c r="A30" s="279" t="s">
        <v>85</v>
      </c>
      <c r="B30" s="279"/>
      <c r="C30" s="279"/>
      <c r="E30" s="279" t="s">
        <v>86</v>
      </c>
      <c r="F30" s="279"/>
      <c r="G30" s="279"/>
    </row>
    <row r="31" spans="1:25" ht="15" thickBot="1">
      <c r="A31" s="268" t="s">
        <v>55</v>
      </c>
      <c r="B31" s="269"/>
      <c r="E31" s="268" t="s">
        <v>55</v>
      </c>
      <c r="F31" s="269"/>
    </row>
    <row r="33" spans="1:25">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row r="35" spans="1:25" ht="19" thickBot="1">
      <c r="A35" s="283" t="s">
        <v>64</v>
      </c>
      <c r="B35" s="283"/>
      <c r="C35" s="283"/>
      <c r="D35" s="283"/>
      <c r="E35" s="283"/>
      <c r="F35" s="283"/>
      <c r="H35" s="283" t="s">
        <v>215</v>
      </c>
      <c r="I35" s="283"/>
      <c r="J35" s="283"/>
    </row>
    <row r="36" spans="1:25">
      <c r="A36" s="270" t="s">
        <v>216</v>
      </c>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2"/>
    </row>
    <row r="37" spans="1:25">
      <c r="A37" s="273"/>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5"/>
    </row>
    <row r="38" spans="1:25">
      <c r="A38" s="273"/>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5"/>
    </row>
    <row r="39" spans="1:25">
      <c r="A39" s="273"/>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5"/>
    </row>
    <row r="40" spans="1:25">
      <c r="A40" s="273"/>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5"/>
    </row>
    <row r="41" spans="1:25">
      <c r="A41" s="273"/>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5"/>
    </row>
    <row r="42" spans="1:25">
      <c r="A42" s="273"/>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5"/>
    </row>
    <row r="43" spans="1:25">
      <c r="A43" s="273"/>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5"/>
    </row>
    <row r="44" spans="1:25">
      <c r="A44" s="273"/>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5"/>
    </row>
    <row r="45" spans="1:25">
      <c r="A45" s="273"/>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5"/>
    </row>
    <row r="46" spans="1:25">
      <c r="A46" s="273"/>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5"/>
    </row>
    <row r="47" spans="1:25">
      <c r="A47" s="273"/>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5"/>
    </row>
    <row r="48" spans="1:25">
      <c r="A48" s="273"/>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5"/>
    </row>
    <row r="49" spans="1:25" ht="15" thickBot="1">
      <c r="A49" s="276"/>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8"/>
    </row>
    <row r="51" spans="1:25" ht="15" thickBot="1">
      <c r="A51" s="279" t="s">
        <v>28</v>
      </c>
      <c r="B51" s="279"/>
      <c r="C51" s="279"/>
      <c r="D51" s="279"/>
    </row>
    <row r="52" spans="1:25">
      <c r="A52" s="270" t="s">
        <v>217</v>
      </c>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2"/>
    </row>
    <row r="53" spans="1:25">
      <c r="A53" s="273"/>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5"/>
    </row>
    <row r="54" spans="1:25">
      <c r="A54" s="273"/>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5"/>
    </row>
    <row r="55" spans="1:25">
      <c r="A55" s="273"/>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5"/>
    </row>
    <row r="56" spans="1:25">
      <c r="A56" s="273"/>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5"/>
    </row>
    <row r="57" spans="1:25">
      <c r="A57" s="273"/>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5"/>
    </row>
    <row r="58" spans="1:25" ht="15" thickBot="1">
      <c r="A58" s="276"/>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8"/>
    </row>
    <row r="60" spans="1:25" ht="15" thickBot="1">
      <c r="A60" s="279" t="s">
        <v>199</v>
      </c>
      <c r="B60" s="279"/>
      <c r="C60" s="279"/>
      <c r="D60" s="279"/>
      <c r="E60" s="279"/>
      <c r="F60" s="279"/>
      <c r="G60" s="279"/>
      <c r="H60" s="279"/>
    </row>
    <row r="61" spans="1:25" ht="15" thickBot="1">
      <c r="A61" s="280" t="s">
        <v>218</v>
      </c>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2"/>
    </row>
    <row r="63" spans="1:25" ht="15" thickBot="1">
      <c r="A63" s="279" t="s">
        <v>85</v>
      </c>
      <c r="B63" s="279"/>
      <c r="C63" s="279"/>
      <c r="E63" s="279" t="s">
        <v>86</v>
      </c>
      <c r="F63" s="279"/>
      <c r="G63" s="279"/>
    </row>
    <row r="64" spans="1:25" ht="15" thickBot="1">
      <c r="A64" s="268" t="s">
        <v>56</v>
      </c>
      <c r="B64" s="269"/>
      <c r="E64" s="268" t="s">
        <v>56</v>
      </c>
      <c r="F64" s="269"/>
    </row>
    <row r="66" spans="1:25">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8" spans="1:25" ht="19" thickBot="1">
      <c r="A68" s="283" t="s">
        <v>65</v>
      </c>
      <c r="B68" s="283"/>
      <c r="C68" s="283"/>
      <c r="D68" s="283"/>
      <c r="E68" s="283"/>
      <c r="F68" s="283"/>
      <c r="H68" s="195" t="s">
        <v>219</v>
      </c>
      <c r="I68" s="195"/>
      <c r="J68" s="195"/>
    </row>
    <row r="69" spans="1:25">
      <c r="A69" s="270" t="s">
        <v>220</v>
      </c>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2"/>
    </row>
    <row r="70" spans="1:25">
      <c r="A70" s="273"/>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5"/>
    </row>
    <row r="71" spans="1:25">
      <c r="A71" s="273"/>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5"/>
    </row>
    <row r="72" spans="1:25">
      <c r="A72" s="273"/>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5"/>
    </row>
    <row r="73" spans="1:25">
      <c r="A73" s="273"/>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75"/>
    </row>
    <row r="74" spans="1:25">
      <c r="A74" s="273"/>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5"/>
    </row>
    <row r="75" spans="1:25">
      <c r="A75" s="273"/>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5"/>
    </row>
    <row r="76" spans="1:25">
      <c r="A76" s="273"/>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5"/>
    </row>
    <row r="77" spans="1:25">
      <c r="A77" s="273"/>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5"/>
    </row>
    <row r="78" spans="1:25">
      <c r="A78" s="273"/>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5"/>
    </row>
    <row r="79" spans="1:25">
      <c r="A79" s="273"/>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5"/>
    </row>
    <row r="80" spans="1:25">
      <c r="A80" s="273"/>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5"/>
    </row>
    <row r="81" spans="1:25">
      <c r="A81" s="273"/>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5"/>
    </row>
    <row r="82" spans="1:25" ht="15" thickBot="1">
      <c r="A82" s="276"/>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8"/>
    </row>
    <row r="84" spans="1:25" ht="15" thickBot="1">
      <c r="A84" s="279" t="s">
        <v>28</v>
      </c>
      <c r="B84" s="279"/>
      <c r="C84" s="279"/>
      <c r="D84" s="279"/>
    </row>
    <row r="85" spans="1:25">
      <c r="A85" s="270" t="s">
        <v>265</v>
      </c>
      <c r="B85" s="271"/>
      <c r="C85" s="271"/>
      <c r="D85" s="271"/>
      <c r="E85" s="271"/>
      <c r="F85" s="271"/>
      <c r="G85" s="271"/>
      <c r="H85" s="271"/>
      <c r="I85" s="271"/>
      <c r="J85" s="271"/>
      <c r="K85" s="271"/>
      <c r="L85" s="271"/>
      <c r="M85" s="271"/>
      <c r="N85" s="271"/>
      <c r="O85" s="271"/>
      <c r="P85" s="271"/>
      <c r="Q85" s="271"/>
      <c r="R85" s="271"/>
      <c r="S85" s="271"/>
      <c r="T85" s="271"/>
      <c r="U85" s="271"/>
      <c r="V85" s="271"/>
      <c r="W85" s="271"/>
      <c r="X85" s="271"/>
      <c r="Y85" s="272"/>
    </row>
    <row r="86" spans="1:25">
      <c r="A86" s="273"/>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5"/>
    </row>
    <row r="87" spans="1:25">
      <c r="A87" s="273"/>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5"/>
    </row>
    <row r="88" spans="1:25">
      <c r="A88" s="273"/>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5"/>
    </row>
    <row r="89" spans="1:25">
      <c r="A89" s="273"/>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5"/>
    </row>
    <row r="90" spans="1:25">
      <c r="A90" s="273"/>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5"/>
    </row>
    <row r="91" spans="1:25" ht="15" thickBot="1">
      <c r="A91" s="276"/>
      <c r="B91" s="277"/>
      <c r="C91" s="277"/>
      <c r="D91" s="277"/>
      <c r="E91" s="277"/>
      <c r="F91" s="277"/>
      <c r="G91" s="277"/>
      <c r="H91" s="277"/>
      <c r="I91" s="277"/>
      <c r="J91" s="277"/>
      <c r="K91" s="277"/>
      <c r="L91" s="277"/>
      <c r="M91" s="277"/>
      <c r="N91" s="277"/>
      <c r="O91" s="277"/>
      <c r="P91" s="277"/>
      <c r="Q91" s="277"/>
      <c r="R91" s="277"/>
      <c r="S91" s="277"/>
      <c r="T91" s="277"/>
      <c r="U91" s="277"/>
      <c r="V91" s="277"/>
      <c r="W91" s="277"/>
      <c r="X91" s="277"/>
      <c r="Y91" s="278"/>
    </row>
    <row r="93" spans="1:25" ht="15" thickBot="1">
      <c r="A93" s="279" t="s">
        <v>199</v>
      </c>
      <c r="B93" s="279"/>
      <c r="C93" s="279"/>
      <c r="D93" s="279"/>
      <c r="E93" s="279"/>
      <c r="F93" s="279"/>
      <c r="G93" s="279"/>
      <c r="H93" s="279"/>
    </row>
    <row r="94" spans="1:25" ht="15" thickBot="1">
      <c r="A94" s="280" t="s">
        <v>221</v>
      </c>
      <c r="B94" s="281"/>
      <c r="C94" s="281"/>
      <c r="D94" s="281"/>
      <c r="E94" s="281"/>
      <c r="F94" s="281"/>
      <c r="G94" s="281"/>
      <c r="H94" s="281"/>
      <c r="I94" s="281"/>
      <c r="J94" s="281"/>
      <c r="K94" s="281"/>
      <c r="L94" s="281"/>
      <c r="M94" s="281"/>
      <c r="N94" s="281"/>
      <c r="O94" s="281"/>
      <c r="P94" s="281"/>
      <c r="Q94" s="281"/>
      <c r="R94" s="281"/>
      <c r="S94" s="281"/>
      <c r="T94" s="281"/>
      <c r="U94" s="281"/>
      <c r="V94" s="281"/>
      <c r="W94" s="281"/>
      <c r="X94" s="281"/>
      <c r="Y94" s="282"/>
    </row>
    <row r="96" spans="1:25" ht="15" thickBot="1">
      <c r="A96" s="279" t="s">
        <v>85</v>
      </c>
      <c r="B96" s="279"/>
      <c r="C96" s="279"/>
      <c r="E96" s="279" t="s">
        <v>86</v>
      </c>
      <c r="F96" s="279"/>
      <c r="G96" s="279"/>
    </row>
    <row r="97" spans="1:25" ht="15" thickBot="1">
      <c r="A97" s="268" t="s">
        <v>57</v>
      </c>
      <c r="B97" s="269"/>
      <c r="E97" s="268" t="s">
        <v>57</v>
      </c>
      <c r="F97" s="269"/>
    </row>
    <row r="99" spans="1:25">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1" spans="1:25" ht="19" thickBot="1">
      <c r="A101" s="283" t="s">
        <v>186</v>
      </c>
      <c r="B101" s="283"/>
      <c r="C101" s="283"/>
      <c r="D101" s="283"/>
      <c r="E101" s="283"/>
      <c r="F101" s="283"/>
      <c r="H101" s="283" t="s">
        <v>222</v>
      </c>
      <c r="I101" s="283"/>
      <c r="J101" s="283"/>
    </row>
    <row r="102" spans="1:25">
      <c r="A102" s="270" t="s">
        <v>266</v>
      </c>
      <c r="B102" s="271"/>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2"/>
    </row>
    <row r="103" spans="1:25">
      <c r="A103" s="273"/>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5"/>
    </row>
    <row r="104" spans="1:25">
      <c r="A104" s="273"/>
      <c r="B104" s="274"/>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5"/>
    </row>
    <row r="105" spans="1:25">
      <c r="A105" s="273"/>
      <c r="B105" s="274"/>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5"/>
    </row>
    <row r="106" spans="1:25">
      <c r="A106" s="273"/>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5"/>
    </row>
    <row r="107" spans="1:25">
      <c r="A107" s="273"/>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5"/>
    </row>
    <row r="108" spans="1:25">
      <c r="A108" s="273"/>
      <c r="B108" s="274"/>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5"/>
    </row>
    <row r="109" spans="1:25">
      <c r="A109" s="273"/>
      <c r="B109" s="274"/>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5"/>
    </row>
    <row r="110" spans="1:25">
      <c r="A110" s="273"/>
      <c r="B110" s="274"/>
      <c r="C110" s="274"/>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5"/>
    </row>
    <row r="111" spans="1:25">
      <c r="A111" s="273"/>
      <c r="B111" s="274"/>
      <c r="C111" s="274"/>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5"/>
    </row>
    <row r="112" spans="1:25">
      <c r="A112" s="273"/>
      <c r="B112" s="274"/>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5"/>
    </row>
    <row r="113" spans="1:25">
      <c r="A113" s="273"/>
      <c r="B113" s="274"/>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5"/>
    </row>
    <row r="114" spans="1:25">
      <c r="A114" s="273"/>
      <c r="B114" s="274"/>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5"/>
    </row>
    <row r="115" spans="1:25" ht="15" thickBot="1">
      <c r="A115" s="276"/>
      <c r="B115" s="277"/>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8"/>
    </row>
    <row r="117" spans="1:25" ht="15" thickBot="1">
      <c r="A117" s="279" t="s">
        <v>28</v>
      </c>
      <c r="B117" s="279"/>
      <c r="C117" s="279"/>
      <c r="D117" s="279"/>
    </row>
    <row r="118" spans="1:25">
      <c r="A118" s="270" t="s">
        <v>223</v>
      </c>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2"/>
    </row>
    <row r="119" spans="1:25">
      <c r="A119" s="273"/>
      <c r="B119" s="274"/>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5"/>
    </row>
    <row r="120" spans="1:25">
      <c r="A120" s="273"/>
      <c r="B120" s="274"/>
      <c r="C120" s="274"/>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5"/>
    </row>
    <row r="121" spans="1:25">
      <c r="A121" s="273"/>
      <c r="B121" s="274"/>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5"/>
    </row>
    <row r="122" spans="1:25">
      <c r="A122" s="273"/>
      <c r="B122" s="274"/>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5"/>
    </row>
    <row r="123" spans="1:25">
      <c r="A123" s="273"/>
      <c r="B123" s="274"/>
      <c r="C123" s="274"/>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5"/>
    </row>
    <row r="124" spans="1:25" ht="15" thickBot="1">
      <c r="A124" s="276"/>
      <c r="B124" s="277"/>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8"/>
    </row>
    <row r="126" spans="1:25" ht="15" thickBot="1">
      <c r="A126" s="279" t="s">
        <v>199</v>
      </c>
      <c r="B126" s="279"/>
      <c r="C126" s="279"/>
      <c r="D126" s="279"/>
      <c r="E126" s="279"/>
      <c r="F126" s="279"/>
      <c r="G126" s="279"/>
      <c r="H126" s="279"/>
    </row>
    <row r="127" spans="1:25" ht="15" thickBot="1">
      <c r="A127" s="280" t="s">
        <v>224</v>
      </c>
      <c r="B127" s="281"/>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2"/>
    </row>
    <row r="129" spans="1:25" ht="15" thickBot="1">
      <c r="A129" s="279" t="s">
        <v>85</v>
      </c>
      <c r="B129" s="279"/>
      <c r="C129" s="279"/>
      <c r="E129" s="279" t="s">
        <v>86</v>
      </c>
      <c r="F129" s="279"/>
      <c r="G129" s="279"/>
    </row>
    <row r="130" spans="1:25" ht="15" thickBot="1">
      <c r="A130" s="268" t="s">
        <v>55</v>
      </c>
      <c r="B130" s="269"/>
      <c r="E130" s="268" t="s">
        <v>58</v>
      </c>
      <c r="F130" s="269"/>
    </row>
    <row r="132" spans="1: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4" spans="1:25" ht="19" thickBot="1">
      <c r="A134" s="283" t="s">
        <v>66</v>
      </c>
      <c r="B134" s="283"/>
      <c r="C134" s="283"/>
      <c r="D134" s="283"/>
      <c r="E134" s="283"/>
      <c r="F134" s="283"/>
      <c r="H134" s="283" t="s">
        <v>252</v>
      </c>
      <c r="I134" s="283"/>
      <c r="J134" s="283"/>
      <c r="N134" s="17"/>
    </row>
    <row r="135" spans="1:25">
      <c r="A135" s="270" t="s">
        <v>258</v>
      </c>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2"/>
    </row>
    <row r="136" spans="1:25">
      <c r="A136" s="273"/>
      <c r="B136" s="274"/>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5"/>
    </row>
    <row r="137" spans="1:25">
      <c r="A137" s="273"/>
      <c r="B137" s="274"/>
      <c r="C137" s="2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5"/>
    </row>
    <row r="138" spans="1:25">
      <c r="A138" s="273"/>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5"/>
    </row>
    <row r="139" spans="1:25">
      <c r="A139" s="273"/>
      <c r="B139" s="274"/>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5"/>
    </row>
    <row r="140" spans="1:25">
      <c r="A140" s="273"/>
      <c r="B140" s="274"/>
      <c r="C140" s="274"/>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5"/>
    </row>
    <row r="141" spans="1:25">
      <c r="A141" s="273"/>
      <c r="B141" s="274"/>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5"/>
    </row>
    <row r="142" spans="1:25">
      <c r="A142" s="273"/>
      <c r="B142" s="274"/>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5"/>
    </row>
    <row r="143" spans="1:25">
      <c r="A143" s="273"/>
      <c r="B143" s="274"/>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5"/>
    </row>
    <row r="144" spans="1:25">
      <c r="A144" s="273"/>
      <c r="B144" s="274"/>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5"/>
    </row>
    <row r="145" spans="1:25">
      <c r="A145" s="273"/>
      <c r="B145" s="274"/>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5"/>
    </row>
    <row r="146" spans="1:25">
      <c r="A146" s="273"/>
      <c r="B146" s="274"/>
      <c r="C146" s="274"/>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5"/>
    </row>
    <row r="147" spans="1:25">
      <c r="A147" s="273"/>
      <c r="B147" s="274"/>
      <c r="C147" s="274"/>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5"/>
    </row>
    <row r="148" spans="1:25" ht="15" thickBot="1">
      <c r="A148" s="276"/>
      <c r="B148" s="277"/>
      <c r="C148" s="277"/>
      <c r="D148" s="277"/>
      <c r="E148" s="277"/>
      <c r="F148" s="277"/>
      <c r="G148" s="277"/>
      <c r="H148" s="277"/>
      <c r="I148" s="277"/>
      <c r="J148" s="277"/>
      <c r="K148" s="277"/>
      <c r="L148" s="277"/>
      <c r="M148" s="277"/>
      <c r="N148" s="277"/>
      <c r="O148" s="277"/>
      <c r="P148" s="277"/>
      <c r="Q148" s="277"/>
      <c r="R148" s="277"/>
      <c r="S148" s="277"/>
      <c r="T148" s="277"/>
      <c r="U148" s="277"/>
      <c r="V148" s="277"/>
      <c r="W148" s="277"/>
      <c r="X148" s="277"/>
      <c r="Y148" s="278"/>
    </row>
    <row r="150" spans="1:25" ht="15" thickBot="1">
      <c r="A150" s="279" t="s">
        <v>28</v>
      </c>
      <c r="B150" s="279"/>
      <c r="C150" s="279"/>
      <c r="D150" s="279"/>
    </row>
    <row r="151" spans="1:25">
      <c r="A151" s="270" t="s">
        <v>259</v>
      </c>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2"/>
    </row>
    <row r="152" spans="1:25">
      <c r="A152" s="273"/>
      <c r="B152" s="274"/>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5"/>
    </row>
    <row r="153" spans="1:25">
      <c r="A153" s="273"/>
      <c r="B153" s="274"/>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5"/>
    </row>
    <row r="154" spans="1:25">
      <c r="A154" s="273"/>
      <c r="B154" s="274"/>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5"/>
    </row>
    <row r="155" spans="1:25">
      <c r="A155" s="273"/>
      <c r="B155" s="274"/>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5"/>
    </row>
    <row r="156" spans="1:25">
      <c r="A156" s="273"/>
      <c r="B156" s="274"/>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5"/>
    </row>
    <row r="157" spans="1:25" ht="15" thickBot="1">
      <c r="A157" s="276"/>
      <c r="B157" s="277"/>
      <c r="C157" s="277"/>
      <c r="D157" s="277"/>
      <c r="E157" s="277"/>
      <c r="F157" s="277"/>
      <c r="G157" s="277"/>
      <c r="H157" s="277"/>
      <c r="I157" s="277"/>
      <c r="J157" s="277"/>
      <c r="K157" s="277"/>
      <c r="L157" s="277"/>
      <c r="M157" s="277"/>
      <c r="N157" s="277"/>
      <c r="O157" s="277"/>
      <c r="P157" s="277"/>
      <c r="Q157" s="277"/>
      <c r="R157" s="277"/>
      <c r="S157" s="277"/>
      <c r="T157" s="277"/>
      <c r="U157" s="277"/>
      <c r="V157" s="277"/>
      <c r="W157" s="277"/>
      <c r="X157" s="277"/>
      <c r="Y157" s="278"/>
    </row>
    <row r="159" spans="1:25" ht="15" thickBot="1">
      <c r="A159" s="279" t="s">
        <v>199</v>
      </c>
      <c r="B159" s="279"/>
      <c r="C159" s="279"/>
      <c r="D159" s="279"/>
      <c r="E159" s="279"/>
      <c r="F159" s="279"/>
      <c r="G159" s="279"/>
      <c r="H159" s="279"/>
    </row>
    <row r="160" spans="1:25" ht="15" thickBot="1">
      <c r="A160" s="280" t="s">
        <v>260</v>
      </c>
      <c r="B160" s="281"/>
      <c r="C160" s="281"/>
      <c r="D160" s="281"/>
      <c r="E160" s="281"/>
      <c r="F160" s="281"/>
      <c r="G160" s="281"/>
      <c r="H160" s="281"/>
      <c r="I160" s="281"/>
      <c r="J160" s="281"/>
      <c r="K160" s="281"/>
      <c r="L160" s="281"/>
      <c r="M160" s="281"/>
      <c r="N160" s="281"/>
      <c r="O160" s="281"/>
      <c r="P160" s="281"/>
      <c r="Q160" s="281"/>
      <c r="R160" s="281"/>
      <c r="S160" s="281"/>
      <c r="T160" s="281"/>
      <c r="U160" s="281"/>
      <c r="V160" s="281"/>
      <c r="W160" s="281"/>
      <c r="X160" s="281"/>
      <c r="Y160" s="282"/>
    </row>
    <row r="162" spans="1:25" ht="15" thickBot="1">
      <c r="A162" s="279" t="s">
        <v>85</v>
      </c>
      <c r="B162" s="279"/>
      <c r="C162" s="279"/>
      <c r="E162" s="279" t="s">
        <v>86</v>
      </c>
      <c r="F162" s="279"/>
      <c r="G162" s="279"/>
    </row>
    <row r="163" spans="1:25" ht="15" thickBot="1">
      <c r="A163" s="268" t="s">
        <v>57</v>
      </c>
      <c r="B163" s="269"/>
      <c r="E163" s="268" t="s">
        <v>57</v>
      </c>
      <c r="F163" s="269"/>
    </row>
    <row r="165" spans="1: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7" spans="1:25" ht="19" thickBot="1">
      <c r="A167" s="283" t="s">
        <v>67</v>
      </c>
      <c r="B167" s="283"/>
      <c r="C167" s="283"/>
      <c r="D167" s="283"/>
      <c r="E167" s="283"/>
      <c r="F167" s="283"/>
      <c r="H167" s="283" t="s">
        <v>230</v>
      </c>
      <c r="I167" s="283"/>
      <c r="J167" s="283"/>
    </row>
    <row r="168" spans="1:25">
      <c r="A168" s="270" t="s">
        <v>268</v>
      </c>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2"/>
    </row>
    <row r="169" spans="1:25">
      <c r="A169" s="273"/>
      <c r="B169" s="274"/>
      <c r="C169" s="274"/>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5"/>
    </row>
    <row r="170" spans="1:25">
      <c r="A170" s="273"/>
      <c r="B170" s="274"/>
      <c r="C170" s="274"/>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5"/>
    </row>
    <row r="171" spans="1:25">
      <c r="A171" s="273"/>
      <c r="B171" s="274"/>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5"/>
    </row>
    <row r="172" spans="1:25">
      <c r="A172" s="273"/>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5"/>
    </row>
    <row r="173" spans="1:25">
      <c r="A173" s="273"/>
      <c r="B173" s="274"/>
      <c r="C173" s="274"/>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5"/>
    </row>
    <row r="174" spans="1:25">
      <c r="A174" s="273"/>
      <c r="B174" s="274"/>
      <c r="C174" s="274"/>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5"/>
    </row>
    <row r="175" spans="1:25">
      <c r="A175" s="273"/>
      <c r="B175" s="274"/>
      <c r="C175" s="274"/>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5"/>
    </row>
    <row r="176" spans="1:25">
      <c r="A176" s="273"/>
      <c r="B176" s="274"/>
      <c r="C176" s="274"/>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5"/>
    </row>
    <row r="177" spans="1:25">
      <c r="A177" s="273"/>
      <c r="B177" s="274"/>
      <c r="C177" s="274"/>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5"/>
    </row>
    <row r="178" spans="1:25">
      <c r="A178" s="273"/>
      <c r="B178" s="274"/>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5"/>
    </row>
    <row r="179" spans="1:25">
      <c r="A179" s="273"/>
      <c r="B179" s="274"/>
      <c r="C179" s="274"/>
      <c r="D179" s="274"/>
      <c r="E179" s="274"/>
      <c r="F179" s="274"/>
      <c r="G179" s="274"/>
      <c r="H179" s="274"/>
      <c r="I179" s="274"/>
      <c r="J179" s="274"/>
      <c r="K179" s="274"/>
      <c r="L179" s="274"/>
      <c r="M179" s="274"/>
      <c r="N179" s="274"/>
      <c r="O179" s="274"/>
      <c r="P179" s="274"/>
      <c r="Q179" s="274"/>
      <c r="R179" s="274"/>
      <c r="S179" s="274"/>
      <c r="T179" s="274"/>
      <c r="U179" s="274"/>
      <c r="V179" s="274"/>
      <c r="W179" s="274"/>
      <c r="X179" s="274"/>
      <c r="Y179" s="275"/>
    </row>
    <row r="180" spans="1:25">
      <c r="A180" s="273"/>
      <c r="B180" s="274"/>
      <c r="C180" s="274"/>
      <c r="D180" s="274"/>
      <c r="E180" s="274"/>
      <c r="F180" s="274"/>
      <c r="G180" s="274"/>
      <c r="H180" s="274"/>
      <c r="I180" s="274"/>
      <c r="J180" s="274"/>
      <c r="K180" s="274"/>
      <c r="L180" s="274"/>
      <c r="M180" s="274"/>
      <c r="N180" s="274"/>
      <c r="O180" s="274"/>
      <c r="P180" s="274"/>
      <c r="Q180" s="274"/>
      <c r="R180" s="274"/>
      <c r="S180" s="274"/>
      <c r="T180" s="274"/>
      <c r="U180" s="274"/>
      <c r="V180" s="274"/>
      <c r="W180" s="274"/>
      <c r="X180" s="274"/>
      <c r="Y180" s="275"/>
    </row>
    <row r="181" spans="1:25" ht="15" thickBot="1">
      <c r="A181" s="276"/>
      <c r="B181" s="277"/>
      <c r="C181" s="277"/>
      <c r="D181" s="277"/>
      <c r="E181" s="277"/>
      <c r="F181" s="277"/>
      <c r="G181" s="277"/>
      <c r="H181" s="277"/>
      <c r="I181" s="277"/>
      <c r="J181" s="277"/>
      <c r="K181" s="277"/>
      <c r="L181" s="277"/>
      <c r="M181" s="277"/>
      <c r="N181" s="277"/>
      <c r="O181" s="277"/>
      <c r="P181" s="277"/>
      <c r="Q181" s="277"/>
      <c r="R181" s="277"/>
      <c r="S181" s="277"/>
      <c r="T181" s="277"/>
      <c r="U181" s="277"/>
      <c r="V181" s="277"/>
      <c r="W181" s="277"/>
      <c r="X181" s="277"/>
      <c r="Y181" s="278"/>
    </row>
    <row r="183" spans="1:25" ht="15" thickBot="1">
      <c r="A183" s="279" t="s">
        <v>28</v>
      </c>
      <c r="B183" s="279"/>
      <c r="C183" s="279"/>
      <c r="D183" s="279"/>
    </row>
    <row r="184" spans="1:25">
      <c r="A184" s="270" t="s">
        <v>225</v>
      </c>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2"/>
    </row>
    <row r="185" spans="1:25">
      <c r="A185" s="273"/>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5"/>
    </row>
    <row r="186" spans="1:25">
      <c r="A186" s="273"/>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5"/>
    </row>
    <row r="187" spans="1:25">
      <c r="A187" s="273"/>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5"/>
    </row>
    <row r="188" spans="1:25">
      <c r="A188" s="273"/>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5"/>
    </row>
    <row r="189" spans="1:25">
      <c r="A189" s="273"/>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5"/>
    </row>
    <row r="190" spans="1:25" ht="15" thickBot="1">
      <c r="A190" s="276"/>
      <c r="B190" s="277"/>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8"/>
    </row>
    <row r="192" spans="1:25" ht="15" thickBot="1">
      <c r="A192" s="279" t="s">
        <v>199</v>
      </c>
      <c r="B192" s="279"/>
      <c r="C192" s="279"/>
      <c r="D192" s="279"/>
      <c r="E192" s="279"/>
      <c r="F192" s="279"/>
      <c r="G192" s="279"/>
      <c r="H192" s="279"/>
    </row>
    <row r="193" spans="1:25" ht="15" thickBot="1">
      <c r="A193" s="280" t="s">
        <v>226</v>
      </c>
      <c r="B193" s="281"/>
      <c r="C193" s="281"/>
      <c r="D193" s="281"/>
      <c r="E193" s="281"/>
      <c r="F193" s="281"/>
      <c r="G193" s="281"/>
      <c r="H193" s="281"/>
      <c r="I193" s="281"/>
      <c r="J193" s="281"/>
      <c r="K193" s="281"/>
      <c r="L193" s="281"/>
      <c r="M193" s="281"/>
      <c r="N193" s="281"/>
      <c r="O193" s="281"/>
      <c r="P193" s="281"/>
      <c r="Q193" s="281"/>
      <c r="R193" s="281"/>
      <c r="S193" s="281"/>
      <c r="T193" s="281"/>
      <c r="U193" s="281"/>
      <c r="V193" s="281"/>
      <c r="W193" s="281"/>
      <c r="X193" s="281"/>
      <c r="Y193" s="282"/>
    </row>
    <row r="195" spans="1:25" ht="15" thickBot="1">
      <c r="A195" s="279" t="s">
        <v>85</v>
      </c>
      <c r="B195" s="279"/>
      <c r="C195" s="279"/>
      <c r="E195" s="279" t="s">
        <v>86</v>
      </c>
      <c r="F195" s="279"/>
      <c r="G195" s="279"/>
    </row>
    <row r="196" spans="1:25" ht="15" thickBot="1">
      <c r="A196" s="268" t="s">
        <v>57</v>
      </c>
      <c r="B196" s="269"/>
      <c r="E196" s="268" t="s">
        <v>57</v>
      </c>
      <c r="F196" s="269"/>
    </row>
    <row r="198" spans="1: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200" spans="1:25" ht="19" thickBot="1">
      <c r="A200" s="283" t="s">
        <v>68</v>
      </c>
      <c r="B200" s="283"/>
      <c r="C200" s="283"/>
      <c r="D200" s="283"/>
      <c r="E200" s="283"/>
      <c r="F200" s="283"/>
      <c r="H200" s="283" t="s">
        <v>228</v>
      </c>
      <c r="I200" s="283"/>
      <c r="J200" s="283"/>
    </row>
    <row r="201" spans="1:25">
      <c r="A201" s="270" t="s">
        <v>267</v>
      </c>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2"/>
    </row>
    <row r="202" spans="1:25">
      <c r="A202" s="273"/>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5"/>
    </row>
    <row r="203" spans="1:25">
      <c r="A203" s="273"/>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5"/>
    </row>
    <row r="204" spans="1:25">
      <c r="A204" s="273"/>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5"/>
    </row>
    <row r="205" spans="1:25">
      <c r="A205" s="273"/>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5"/>
    </row>
    <row r="206" spans="1:25">
      <c r="A206" s="273"/>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5"/>
    </row>
    <row r="207" spans="1:25">
      <c r="A207" s="273"/>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5"/>
    </row>
    <row r="208" spans="1:25">
      <c r="A208" s="273"/>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5"/>
    </row>
    <row r="209" spans="1:25">
      <c r="A209" s="273"/>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5"/>
    </row>
    <row r="210" spans="1:25">
      <c r="A210" s="273"/>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5"/>
    </row>
    <row r="211" spans="1:25">
      <c r="A211" s="273"/>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5"/>
    </row>
    <row r="212" spans="1:25">
      <c r="A212" s="273"/>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5"/>
    </row>
    <row r="213" spans="1:25">
      <c r="A213" s="273"/>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5"/>
    </row>
    <row r="214" spans="1:25" ht="15" thickBot="1">
      <c r="A214" s="276"/>
      <c r="B214" s="277"/>
      <c r="C214" s="277"/>
      <c r="D214" s="277"/>
      <c r="E214" s="277"/>
      <c r="F214" s="277"/>
      <c r="G214" s="277"/>
      <c r="H214" s="277"/>
      <c r="I214" s="277"/>
      <c r="J214" s="277"/>
      <c r="K214" s="277"/>
      <c r="L214" s="277"/>
      <c r="M214" s="277"/>
      <c r="N214" s="277"/>
      <c r="O214" s="277"/>
      <c r="P214" s="277"/>
      <c r="Q214" s="277"/>
      <c r="R214" s="277"/>
      <c r="S214" s="277"/>
      <c r="T214" s="277"/>
      <c r="U214" s="277"/>
      <c r="V214" s="277"/>
      <c r="W214" s="277"/>
      <c r="X214" s="277"/>
      <c r="Y214" s="278"/>
    </row>
    <row r="216" spans="1:25" ht="15" thickBot="1">
      <c r="A216" s="279" t="s">
        <v>28</v>
      </c>
      <c r="B216" s="279"/>
      <c r="C216" s="279"/>
      <c r="D216" s="279"/>
    </row>
    <row r="217" spans="1:25">
      <c r="A217" s="270" t="s">
        <v>229</v>
      </c>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2"/>
    </row>
    <row r="218" spans="1:25">
      <c r="A218" s="273"/>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5"/>
    </row>
    <row r="219" spans="1:25">
      <c r="A219" s="273"/>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5"/>
    </row>
    <row r="220" spans="1:25">
      <c r="A220" s="273"/>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5"/>
    </row>
    <row r="221" spans="1:25">
      <c r="A221" s="273"/>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5"/>
    </row>
    <row r="222" spans="1:25">
      <c r="A222" s="273"/>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5"/>
    </row>
    <row r="223" spans="1:25" ht="15" thickBot="1">
      <c r="A223" s="276"/>
      <c r="B223" s="277"/>
      <c r="C223" s="277"/>
      <c r="D223" s="277"/>
      <c r="E223" s="277"/>
      <c r="F223" s="277"/>
      <c r="G223" s="277"/>
      <c r="H223" s="277"/>
      <c r="I223" s="277"/>
      <c r="J223" s="277"/>
      <c r="K223" s="277"/>
      <c r="L223" s="277"/>
      <c r="M223" s="277"/>
      <c r="N223" s="277"/>
      <c r="O223" s="277"/>
      <c r="P223" s="277"/>
      <c r="Q223" s="277"/>
      <c r="R223" s="277"/>
      <c r="S223" s="277"/>
      <c r="T223" s="277"/>
      <c r="U223" s="277"/>
      <c r="V223" s="277"/>
      <c r="W223" s="277"/>
      <c r="X223" s="277"/>
      <c r="Y223" s="278"/>
    </row>
    <row r="225" spans="1:25" ht="15" thickBot="1">
      <c r="A225" s="279" t="s">
        <v>199</v>
      </c>
      <c r="B225" s="279"/>
      <c r="C225" s="279"/>
      <c r="D225" s="279"/>
      <c r="E225" s="279"/>
      <c r="F225" s="279"/>
      <c r="G225" s="279"/>
      <c r="H225" s="279"/>
    </row>
    <row r="226" spans="1:25" ht="15" thickBot="1">
      <c r="A226" s="280" t="s">
        <v>227</v>
      </c>
      <c r="B226" s="281"/>
      <c r="C226" s="281"/>
      <c r="D226" s="281"/>
      <c r="E226" s="281"/>
      <c r="F226" s="281"/>
      <c r="G226" s="281"/>
      <c r="H226" s="281"/>
      <c r="I226" s="281"/>
      <c r="J226" s="281"/>
      <c r="K226" s="281"/>
      <c r="L226" s="281"/>
      <c r="M226" s="281"/>
      <c r="N226" s="281"/>
      <c r="O226" s="281"/>
      <c r="P226" s="281"/>
      <c r="Q226" s="281"/>
      <c r="R226" s="281"/>
      <c r="S226" s="281"/>
      <c r="T226" s="281"/>
      <c r="U226" s="281"/>
      <c r="V226" s="281"/>
      <c r="W226" s="281"/>
      <c r="X226" s="281"/>
      <c r="Y226" s="282"/>
    </row>
    <row r="228" spans="1:25" ht="15" thickBot="1">
      <c r="A228" s="279" t="s">
        <v>85</v>
      </c>
      <c r="B228" s="279"/>
      <c r="C228" s="279"/>
      <c r="E228" s="279" t="s">
        <v>86</v>
      </c>
      <c r="F228" s="279"/>
      <c r="G228" s="279"/>
    </row>
    <row r="229" spans="1:25" ht="15" thickBot="1">
      <c r="A229" s="268" t="s">
        <v>55</v>
      </c>
      <c r="B229" s="269"/>
      <c r="E229" s="268" t="s">
        <v>56</v>
      </c>
      <c r="F229" s="269"/>
    </row>
    <row r="231" spans="1: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3" spans="1:25" ht="19" thickBot="1">
      <c r="A233" s="283" t="s">
        <v>69</v>
      </c>
      <c r="B233" s="283"/>
      <c r="C233" s="283"/>
      <c r="D233" s="283"/>
      <c r="E233" s="283"/>
      <c r="F233" s="283"/>
      <c r="H233" s="283" t="s">
        <v>293</v>
      </c>
      <c r="I233" s="283"/>
      <c r="J233" s="283"/>
    </row>
    <row r="234" spans="1:25">
      <c r="A234" s="284" t="s">
        <v>297</v>
      </c>
      <c r="B234" s="285"/>
      <c r="C234" s="285"/>
      <c r="D234" s="285"/>
      <c r="E234" s="285"/>
      <c r="F234" s="285"/>
      <c r="G234" s="285"/>
      <c r="H234" s="285"/>
      <c r="I234" s="285"/>
      <c r="J234" s="285"/>
      <c r="K234" s="285"/>
      <c r="L234" s="285"/>
      <c r="M234" s="285"/>
      <c r="N234" s="285"/>
      <c r="O234" s="285"/>
      <c r="P234" s="285"/>
      <c r="Q234" s="285"/>
      <c r="R234" s="285"/>
      <c r="S234" s="285"/>
      <c r="T234" s="285"/>
      <c r="U234" s="285"/>
      <c r="V234" s="285"/>
      <c r="W234" s="285"/>
      <c r="X234" s="285"/>
      <c r="Y234" s="286"/>
    </row>
    <row r="235" spans="1:25">
      <c r="A235" s="287"/>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9"/>
    </row>
    <row r="236" spans="1:25">
      <c r="A236" s="287"/>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9"/>
    </row>
    <row r="237" spans="1:25">
      <c r="A237" s="287"/>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9"/>
    </row>
    <row r="238" spans="1:25">
      <c r="A238" s="287"/>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9"/>
    </row>
    <row r="239" spans="1:25">
      <c r="A239" s="287"/>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9"/>
    </row>
    <row r="240" spans="1:25">
      <c r="A240" s="287"/>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9"/>
    </row>
    <row r="241" spans="1:25">
      <c r="A241" s="287"/>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9"/>
    </row>
    <row r="242" spans="1:25" ht="15" thickBot="1">
      <c r="A242" s="290"/>
      <c r="B242" s="291"/>
      <c r="C242" s="291"/>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2"/>
    </row>
    <row r="244" spans="1:25" ht="15" thickBot="1">
      <c r="A244" s="279" t="s">
        <v>28</v>
      </c>
      <c r="B244" s="279"/>
      <c r="C244" s="279"/>
      <c r="D244" s="279"/>
    </row>
    <row r="245" spans="1:25" ht="15" customHeight="1">
      <c r="A245" s="284" t="s">
        <v>294</v>
      </c>
      <c r="B245" s="285"/>
      <c r="C245" s="285"/>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286"/>
    </row>
    <row r="246" spans="1:25">
      <c r="A246" s="287"/>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89"/>
    </row>
    <row r="247" spans="1:25">
      <c r="A247" s="287"/>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89"/>
    </row>
    <row r="248" spans="1:25">
      <c r="A248" s="287"/>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89"/>
    </row>
    <row r="249" spans="1:25">
      <c r="A249" s="287"/>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89"/>
    </row>
    <row r="250" spans="1:25">
      <c r="A250" s="287"/>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89"/>
    </row>
    <row r="251" spans="1:25" ht="15" thickBot="1">
      <c r="A251" s="290"/>
      <c r="B251" s="291"/>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2"/>
    </row>
    <row r="253" spans="1:25" ht="15" thickBot="1">
      <c r="A253" s="279" t="s">
        <v>199</v>
      </c>
      <c r="B253" s="279"/>
      <c r="C253" s="279"/>
      <c r="D253" s="279"/>
      <c r="E253" s="279"/>
      <c r="F253" s="279"/>
      <c r="G253" s="279"/>
      <c r="H253" s="279"/>
    </row>
    <row r="254" spans="1:25" ht="15" thickBot="1">
      <c r="A254" s="280" t="s">
        <v>295</v>
      </c>
      <c r="B254" s="281"/>
      <c r="C254" s="281"/>
      <c r="D254" s="281"/>
      <c r="E254" s="281"/>
      <c r="F254" s="281"/>
      <c r="G254" s="281"/>
      <c r="H254" s="281"/>
      <c r="I254" s="281"/>
      <c r="J254" s="281"/>
      <c r="K254" s="281"/>
      <c r="L254" s="281"/>
      <c r="M254" s="281"/>
      <c r="N254" s="281"/>
      <c r="O254" s="281"/>
      <c r="P254" s="281"/>
      <c r="Q254" s="281"/>
      <c r="R254" s="281"/>
      <c r="S254" s="281"/>
      <c r="T254" s="281"/>
      <c r="U254" s="281"/>
      <c r="V254" s="281"/>
      <c r="W254" s="281"/>
      <c r="X254" s="281"/>
      <c r="Y254" s="282"/>
    </row>
    <row r="256" spans="1:25" ht="15" thickBot="1">
      <c r="A256" s="279" t="s">
        <v>85</v>
      </c>
      <c r="B256" s="279"/>
      <c r="C256" s="279"/>
      <c r="E256" s="279" t="s">
        <v>86</v>
      </c>
      <c r="F256" s="279"/>
      <c r="G256" s="279"/>
    </row>
    <row r="257" spans="1:25" ht="15" thickBot="1">
      <c r="A257" s="268" t="s">
        <v>58</v>
      </c>
      <c r="B257" s="269"/>
      <c r="E257" s="268" t="s">
        <v>58</v>
      </c>
      <c r="F257" s="269"/>
    </row>
    <row r="259" spans="1: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row r="261" spans="1:25" ht="19" thickBot="1">
      <c r="A261" s="283" t="s">
        <v>70</v>
      </c>
      <c r="B261" s="283"/>
      <c r="C261" s="283"/>
      <c r="D261" s="283"/>
      <c r="E261" s="283"/>
      <c r="F261" s="283"/>
      <c r="H261" s="283" t="s">
        <v>165</v>
      </c>
      <c r="I261" s="283"/>
      <c r="J261" s="283"/>
    </row>
    <row r="262" spans="1:25">
      <c r="A262" s="270"/>
      <c r="B262" s="271"/>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2"/>
    </row>
    <row r="263" spans="1:25">
      <c r="A263" s="273"/>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5"/>
    </row>
    <row r="264" spans="1:25">
      <c r="A264" s="273"/>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5"/>
    </row>
    <row r="265" spans="1:25">
      <c r="A265" s="273"/>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5"/>
    </row>
    <row r="266" spans="1:25">
      <c r="A266" s="273"/>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5"/>
    </row>
    <row r="267" spans="1:25">
      <c r="A267" s="273"/>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5"/>
    </row>
    <row r="268" spans="1:25">
      <c r="A268" s="273"/>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5"/>
    </row>
    <row r="269" spans="1:25">
      <c r="A269" s="273"/>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5"/>
    </row>
    <row r="270" spans="1:25">
      <c r="A270" s="273"/>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5"/>
    </row>
    <row r="271" spans="1:25">
      <c r="A271" s="273"/>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5"/>
    </row>
    <row r="272" spans="1:25">
      <c r="A272" s="273"/>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5"/>
    </row>
    <row r="273" spans="1:25">
      <c r="A273" s="273"/>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5"/>
    </row>
    <row r="274" spans="1:25">
      <c r="A274" s="273"/>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5"/>
    </row>
    <row r="275" spans="1:25" ht="15" thickBot="1">
      <c r="A275" s="276"/>
      <c r="B275" s="277"/>
      <c r="C275" s="277"/>
      <c r="D275" s="277"/>
      <c r="E275" s="277"/>
      <c r="F275" s="277"/>
      <c r="G275" s="277"/>
      <c r="H275" s="277"/>
      <c r="I275" s="277"/>
      <c r="J275" s="277"/>
      <c r="K275" s="277"/>
      <c r="L275" s="277"/>
      <c r="M275" s="277"/>
      <c r="N275" s="277"/>
      <c r="O275" s="277"/>
      <c r="P275" s="277"/>
      <c r="Q275" s="277"/>
      <c r="R275" s="277"/>
      <c r="S275" s="277"/>
      <c r="T275" s="277"/>
      <c r="U275" s="277"/>
      <c r="V275" s="277"/>
      <c r="W275" s="277"/>
      <c r="X275" s="277"/>
      <c r="Y275" s="278"/>
    </row>
    <row r="277" spans="1:25" ht="15" thickBot="1">
      <c r="A277" s="279" t="s">
        <v>28</v>
      </c>
      <c r="B277" s="279"/>
      <c r="C277" s="279"/>
      <c r="D277" s="279"/>
    </row>
    <row r="278" spans="1:25">
      <c r="A278" s="270"/>
      <c r="B278" s="271"/>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2"/>
    </row>
    <row r="279" spans="1:25">
      <c r="A279" s="273"/>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5"/>
    </row>
    <row r="280" spans="1:25">
      <c r="A280" s="273"/>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5"/>
    </row>
    <row r="281" spans="1:25">
      <c r="A281" s="273"/>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5"/>
    </row>
    <row r="282" spans="1:25">
      <c r="A282" s="273"/>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5"/>
    </row>
    <row r="283" spans="1:25">
      <c r="A283" s="273"/>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5"/>
    </row>
    <row r="284" spans="1:25" ht="15" thickBot="1">
      <c r="A284" s="276"/>
      <c r="B284" s="277"/>
      <c r="C284" s="277"/>
      <c r="D284" s="277"/>
      <c r="E284" s="277"/>
      <c r="F284" s="277"/>
      <c r="G284" s="277"/>
      <c r="H284" s="277"/>
      <c r="I284" s="277"/>
      <c r="J284" s="277"/>
      <c r="K284" s="277"/>
      <c r="L284" s="277"/>
      <c r="M284" s="277"/>
      <c r="N284" s="277"/>
      <c r="O284" s="277"/>
      <c r="P284" s="277"/>
      <c r="Q284" s="277"/>
      <c r="R284" s="277"/>
      <c r="S284" s="277"/>
      <c r="T284" s="277"/>
      <c r="U284" s="277"/>
      <c r="V284" s="277"/>
      <c r="W284" s="277"/>
      <c r="X284" s="277"/>
      <c r="Y284" s="278"/>
    </row>
    <row r="286" spans="1:25" ht="15" thickBot="1">
      <c r="A286" s="279" t="s">
        <v>199</v>
      </c>
      <c r="B286" s="279"/>
      <c r="C286" s="279"/>
      <c r="D286" s="279"/>
      <c r="E286" s="279"/>
      <c r="F286" s="279"/>
      <c r="G286" s="279"/>
      <c r="H286" s="279"/>
    </row>
    <row r="287" spans="1:25" ht="15" thickBot="1">
      <c r="A287" s="280"/>
      <c r="B287" s="281"/>
      <c r="C287" s="281"/>
      <c r="D287" s="281"/>
      <c r="E287" s="281"/>
      <c r="F287" s="281"/>
      <c r="G287" s="281"/>
      <c r="H287" s="281"/>
      <c r="I287" s="281"/>
      <c r="J287" s="281"/>
      <c r="K287" s="281"/>
      <c r="L287" s="281"/>
      <c r="M287" s="281"/>
      <c r="N287" s="281"/>
      <c r="O287" s="281"/>
      <c r="P287" s="281"/>
      <c r="Q287" s="281"/>
      <c r="R287" s="281"/>
      <c r="S287" s="281"/>
      <c r="T287" s="281"/>
      <c r="U287" s="281"/>
      <c r="V287" s="281"/>
      <c r="W287" s="281"/>
      <c r="X287" s="281"/>
      <c r="Y287" s="282"/>
    </row>
    <row r="289" spans="1:25" ht="15" thickBot="1">
      <c r="A289" s="279" t="s">
        <v>85</v>
      </c>
      <c r="B289" s="279"/>
      <c r="C289" s="279"/>
      <c r="E289" s="279" t="s">
        <v>86</v>
      </c>
      <c r="F289" s="279"/>
      <c r="G289" s="279"/>
    </row>
    <row r="290" spans="1:25" ht="15" thickBot="1">
      <c r="A290" s="268"/>
      <c r="B290" s="269"/>
      <c r="E290" s="268"/>
      <c r="F290" s="269"/>
    </row>
    <row r="292" spans="1:25" s="10" customFormat="1"/>
    <row r="294" spans="1:25" ht="19" thickBot="1">
      <c r="A294" s="283" t="s">
        <v>71</v>
      </c>
      <c r="B294" s="283"/>
      <c r="C294" s="283"/>
      <c r="D294" s="283"/>
      <c r="E294" s="283"/>
      <c r="F294" s="283"/>
      <c r="H294" s="283" t="s">
        <v>165</v>
      </c>
      <c r="I294" s="283"/>
      <c r="J294" s="283"/>
    </row>
    <row r="295" spans="1:25">
      <c r="A295" s="270"/>
      <c r="B295" s="271"/>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2"/>
    </row>
    <row r="296" spans="1:25">
      <c r="A296" s="273"/>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5"/>
    </row>
    <row r="297" spans="1:25">
      <c r="A297" s="273"/>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5"/>
    </row>
    <row r="298" spans="1:25">
      <c r="A298" s="273"/>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5"/>
    </row>
    <row r="299" spans="1:25">
      <c r="A299" s="273"/>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5"/>
    </row>
    <row r="300" spans="1:25">
      <c r="A300" s="273"/>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5"/>
    </row>
    <row r="301" spans="1:25">
      <c r="A301" s="273"/>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5"/>
    </row>
    <row r="302" spans="1:25">
      <c r="A302" s="273"/>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5"/>
    </row>
    <row r="303" spans="1:25">
      <c r="A303" s="273"/>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5"/>
    </row>
    <row r="304" spans="1:25">
      <c r="A304" s="273"/>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5"/>
    </row>
    <row r="305" spans="1:25">
      <c r="A305" s="273"/>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5"/>
    </row>
    <row r="306" spans="1:25">
      <c r="A306" s="273"/>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5"/>
    </row>
    <row r="307" spans="1:25">
      <c r="A307" s="273"/>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5"/>
    </row>
    <row r="308" spans="1:25" ht="15" thickBot="1">
      <c r="A308" s="276"/>
      <c r="B308" s="277"/>
      <c r="C308" s="277"/>
      <c r="D308" s="277"/>
      <c r="E308" s="277"/>
      <c r="F308" s="277"/>
      <c r="G308" s="277"/>
      <c r="H308" s="277"/>
      <c r="I308" s="277"/>
      <c r="J308" s="277"/>
      <c r="K308" s="277"/>
      <c r="L308" s="277"/>
      <c r="M308" s="277"/>
      <c r="N308" s="277"/>
      <c r="O308" s="277"/>
      <c r="P308" s="277"/>
      <c r="Q308" s="277"/>
      <c r="R308" s="277"/>
      <c r="S308" s="277"/>
      <c r="T308" s="277"/>
      <c r="U308" s="277"/>
      <c r="V308" s="277"/>
      <c r="W308" s="277"/>
      <c r="X308" s="277"/>
      <c r="Y308" s="278"/>
    </row>
    <row r="310" spans="1:25" ht="15" thickBot="1">
      <c r="A310" s="279" t="s">
        <v>28</v>
      </c>
      <c r="B310" s="279"/>
      <c r="C310" s="279"/>
      <c r="D310" s="279"/>
    </row>
    <row r="311" spans="1:25">
      <c r="A311" s="270"/>
      <c r="B311" s="271"/>
      <c r="C311" s="271"/>
      <c r="D311" s="271"/>
      <c r="E311" s="271"/>
      <c r="F311" s="271"/>
      <c r="G311" s="271"/>
      <c r="H311" s="271"/>
      <c r="I311" s="271"/>
      <c r="J311" s="271"/>
      <c r="K311" s="271"/>
      <c r="L311" s="271"/>
      <c r="M311" s="271"/>
      <c r="N311" s="271"/>
      <c r="O311" s="271"/>
      <c r="P311" s="271"/>
      <c r="Q311" s="271"/>
      <c r="R311" s="271"/>
      <c r="S311" s="271"/>
      <c r="T311" s="271"/>
      <c r="U311" s="271"/>
      <c r="V311" s="271"/>
      <c r="W311" s="271"/>
      <c r="X311" s="271"/>
      <c r="Y311" s="272"/>
    </row>
    <row r="312" spans="1:25">
      <c r="A312" s="273"/>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5"/>
    </row>
    <row r="313" spans="1:25">
      <c r="A313" s="273"/>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5"/>
    </row>
    <row r="314" spans="1:25">
      <c r="A314" s="273"/>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5"/>
    </row>
    <row r="315" spans="1:25">
      <c r="A315" s="273"/>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5"/>
    </row>
    <row r="316" spans="1:25">
      <c r="A316" s="273"/>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5"/>
    </row>
    <row r="317" spans="1:25" ht="15" thickBot="1">
      <c r="A317" s="276"/>
      <c r="B317" s="277"/>
      <c r="C317" s="277"/>
      <c r="D317" s="277"/>
      <c r="E317" s="277"/>
      <c r="F317" s="277"/>
      <c r="G317" s="277"/>
      <c r="H317" s="277"/>
      <c r="I317" s="277"/>
      <c r="J317" s="277"/>
      <c r="K317" s="277"/>
      <c r="L317" s="277"/>
      <c r="M317" s="277"/>
      <c r="N317" s="277"/>
      <c r="O317" s="277"/>
      <c r="P317" s="277"/>
      <c r="Q317" s="277"/>
      <c r="R317" s="277"/>
      <c r="S317" s="277"/>
      <c r="T317" s="277"/>
      <c r="U317" s="277"/>
      <c r="V317" s="277"/>
      <c r="W317" s="277"/>
      <c r="X317" s="277"/>
      <c r="Y317" s="278"/>
    </row>
    <row r="319" spans="1:25" ht="15" thickBot="1">
      <c r="A319" s="279" t="s">
        <v>199</v>
      </c>
      <c r="B319" s="279"/>
      <c r="C319" s="279"/>
      <c r="D319" s="279"/>
      <c r="E319" s="279"/>
      <c r="F319" s="279"/>
      <c r="G319" s="279"/>
      <c r="H319" s="279"/>
    </row>
    <row r="320" spans="1:25" ht="15" thickBot="1">
      <c r="A320" s="280"/>
      <c r="B320" s="281"/>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2"/>
    </row>
    <row r="322" spans="1:25" ht="15" thickBot="1">
      <c r="A322" s="279" t="s">
        <v>85</v>
      </c>
      <c r="B322" s="279"/>
      <c r="C322" s="279"/>
      <c r="E322" s="279" t="s">
        <v>86</v>
      </c>
      <c r="F322" s="279"/>
      <c r="G322" s="279"/>
    </row>
    <row r="323" spans="1:25" ht="15" thickBot="1">
      <c r="A323" s="268"/>
      <c r="B323" s="269"/>
      <c r="E323" s="268"/>
      <c r="F323" s="269"/>
    </row>
    <row r="325" spans="1:25" s="10" customFormat="1"/>
    <row r="327" spans="1:25" ht="19" thickBot="1">
      <c r="A327" s="283" t="s">
        <v>72</v>
      </c>
      <c r="B327" s="283"/>
      <c r="C327" s="283"/>
      <c r="D327" s="283"/>
      <c r="E327" s="283"/>
      <c r="F327" s="283"/>
      <c r="H327" s="283" t="s">
        <v>165</v>
      </c>
      <c r="I327" s="283"/>
      <c r="J327" s="283"/>
    </row>
    <row r="328" spans="1:25">
      <c r="A328" s="270"/>
      <c r="B328" s="271"/>
      <c r="C328" s="271"/>
      <c r="D328" s="271"/>
      <c r="E328" s="271"/>
      <c r="F328" s="271"/>
      <c r="G328" s="271"/>
      <c r="H328" s="271"/>
      <c r="I328" s="271"/>
      <c r="J328" s="271"/>
      <c r="K328" s="271"/>
      <c r="L328" s="271"/>
      <c r="M328" s="271"/>
      <c r="N328" s="271"/>
      <c r="O328" s="271"/>
      <c r="P328" s="271"/>
      <c r="Q328" s="271"/>
      <c r="R328" s="271"/>
      <c r="S328" s="271"/>
      <c r="T328" s="271"/>
      <c r="U328" s="271"/>
      <c r="V328" s="271"/>
      <c r="W328" s="271"/>
      <c r="X328" s="271"/>
      <c r="Y328" s="272"/>
    </row>
    <row r="329" spans="1:25">
      <c r="A329" s="273"/>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5"/>
    </row>
    <row r="330" spans="1:25">
      <c r="A330" s="273"/>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5"/>
    </row>
    <row r="331" spans="1:25">
      <c r="A331" s="273"/>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5"/>
    </row>
    <row r="332" spans="1:25">
      <c r="A332" s="273"/>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5"/>
    </row>
    <row r="333" spans="1:25">
      <c r="A333" s="273"/>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5"/>
    </row>
    <row r="334" spans="1:25">
      <c r="A334" s="273"/>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5"/>
    </row>
    <row r="335" spans="1:25">
      <c r="A335" s="273"/>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5"/>
    </row>
    <row r="336" spans="1:25">
      <c r="A336" s="273"/>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5"/>
    </row>
    <row r="337" spans="1:25">
      <c r="A337" s="273"/>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5"/>
    </row>
    <row r="338" spans="1:25">
      <c r="A338" s="273"/>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5"/>
    </row>
    <row r="339" spans="1:25">
      <c r="A339" s="273"/>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5"/>
    </row>
    <row r="340" spans="1:25">
      <c r="A340" s="273"/>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5"/>
    </row>
    <row r="341" spans="1:25" ht="15" thickBot="1">
      <c r="A341" s="276"/>
      <c r="B341" s="277"/>
      <c r="C341" s="277"/>
      <c r="D341" s="277"/>
      <c r="E341" s="277"/>
      <c r="F341" s="277"/>
      <c r="G341" s="277"/>
      <c r="H341" s="277"/>
      <c r="I341" s="277"/>
      <c r="J341" s="277"/>
      <c r="K341" s="277"/>
      <c r="L341" s="277"/>
      <c r="M341" s="277"/>
      <c r="N341" s="277"/>
      <c r="O341" s="277"/>
      <c r="P341" s="277"/>
      <c r="Q341" s="277"/>
      <c r="R341" s="277"/>
      <c r="S341" s="277"/>
      <c r="T341" s="277"/>
      <c r="U341" s="277"/>
      <c r="V341" s="277"/>
      <c r="W341" s="277"/>
      <c r="X341" s="277"/>
      <c r="Y341" s="278"/>
    </row>
    <row r="343" spans="1:25" ht="15" thickBot="1">
      <c r="A343" s="279" t="s">
        <v>28</v>
      </c>
      <c r="B343" s="279"/>
      <c r="C343" s="279"/>
      <c r="D343" s="279"/>
    </row>
    <row r="344" spans="1:25">
      <c r="A344" s="270"/>
      <c r="B344" s="271"/>
      <c r="C344" s="271"/>
      <c r="D344" s="271"/>
      <c r="E344" s="271"/>
      <c r="F344" s="271"/>
      <c r="G344" s="271"/>
      <c r="H344" s="271"/>
      <c r="I344" s="271"/>
      <c r="J344" s="271"/>
      <c r="K344" s="271"/>
      <c r="L344" s="271"/>
      <c r="M344" s="271"/>
      <c r="N344" s="271"/>
      <c r="O344" s="271"/>
      <c r="P344" s="271"/>
      <c r="Q344" s="271"/>
      <c r="R344" s="271"/>
      <c r="S344" s="271"/>
      <c r="T344" s="271"/>
      <c r="U344" s="271"/>
      <c r="V344" s="271"/>
      <c r="W344" s="271"/>
      <c r="X344" s="271"/>
      <c r="Y344" s="272"/>
    </row>
    <row r="345" spans="1:25">
      <c r="A345" s="273"/>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5"/>
    </row>
    <row r="346" spans="1:25">
      <c r="A346" s="273"/>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5"/>
    </row>
    <row r="347" spans="1:25">
      <c r="A347" s="273"/>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5"/>
    </row>
    <row r="348" spans="1:25">
      <c r="A348" s="273"/>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5"/>
    </row>
    <row r="349" spans="1:25">
      <c r="A349" s="273"/>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5"/>
    </row>
    <row r="350" spans="1:25" ht="15" thickBot="1">
      <c r="A350" s="276"/>
      <c r="B350" s="277"/>
      <c r="C350" s="277"/>
      <c r="D350" s="277"/>
      <c r="E350" s="277"/>
      <c r="F350" s="277"/>
      <c r="G350" s="277"/>
      <c r="H350" s="277"/>
      <c r="I350" s="277"/>
      <c r="J350" s="277"/>
      <c r="K350" s="277"/>
      <c r="L350" s="277"/>
      <c r="M350" s="277"/>
      <c r="N350" s="277"/>
      <c r="O350" s="277"/>
      <c r="P350" s="277"/>
      <c r="Q350" s="277"/>
      <c r="R350" s="277"/>
      <c r="S350" s="277"/>
      <c r="T350" s="277"/>
      <c r="U350" s="277"/>
      <c r="V350" s="277"/>
      <c r="W350" s="277"/>
      <c r="X350" s="277"/>
      <c r="Y350" s="278"/>
    </row>
    <row r="352" spans="1:25" ht="15" thickBot="1">
      <c r="A352" s="279" t="s">
        <v>199</v>
      </c>
      <c r="B352" s="279"/>
      <c r="C352" s="279"/>
      <c r="D352" s="279"/>
      <c r="E352" s="279"/>
      <c r="F352" s="279"/>
      <c r="G352" s="279"/>
      <c r="H352" s="279"/>
    </row>
    <row r="353" spans="1:25" ht="15" thickBot="1">
      <c r="A353" s="280"/>
      <c r="B353" s="281"/>
      <c r="C353" s="281"/>
      <c r="D353" s="281"/>
      <c r="E353" s="281"/>
      <c r="F353" s="281"/>
      <c r="G353" s="281"/>
      <c r="H353" s="281"/>
      <c r="I353" s="281"/>
      <c r="J353" s="281"/>
      <c r="K353" s="281"/>
      <c r="L353" s="281"/>
      <c r="M353" s="281"/>
      <c r="N353" s="281"/>
      <c r="O353" s="281"/>
      <c r="P353" s="281"/>
      <c r="Q353" s="281"/>
      <c r="R353" s="281"/>
      <c r="S353" s="281"/>
      <c r="T353" s="281"/>
      <c r="U353" s="281"/>
      <c r="V353" s="281"/>
      <c r="W353" s="281"/>
      <c r="X353" s="281"/>
      <c r="Y353" s="282"/>
    </row>
    <row r="355" spans="1:25" ht="15" thickBot="1">
      <c r="A355" s="279" t="s">
        <v>85</v>
      </c>
      <c r="B355" s="279"/>
      <c r="C355" s="279"/>
      <c r="E355" s="279" t="s">
        <v>86</v>
      </c>
      <c r="F355" s="279"/>
      <c r="G355" s="279"/>
    </row>
    <row r="356" spans="1:25" ht="15" thickBot="1">
      <c r="A356" s="268"/>
      <c r="B356" s="269"/>
      <c r="E356" s="268"/>
      <c r="F356" s="269"/>
    </row>
    <row r="358" spans="1:25" s="10" customFormat="1"/>
    <row r="360" spans="1:25" ht="19" thickBot="1">
      <c r="A360" s="283" t="s">
        <v>73</v>
      </c>
      <c r="B360" s="283"/>
      <c r="C360" s="283"/>
      <c r="D360" s="283"/>
      <c r="E360" s="283"/>
      <c r="F360" s="283"/>
      <c r="H360" s="283" t="s">
        <v>165</v>
      </c>
      <c r="I360" s="283"/>
      <c r="J360" s="283"/>
    </row>
    <row r="361" spans="1:25">
      <c r="A361" s="270"/>
      <c r="B361" s="271"/>
      <c r="C361" s="271"/>
      <c r="D361" s="271"/>
      <c r="E361" s="271"/>
      <c r="F361" s="271"/>
      <c r="G361" s="271"/>
      <c r="H361" s="271"/>
      <c r="I361" s="271"/>
      <c r="J361" s="271"/>
      <c r="K361" s="271"/>
      <c r="L361" s="271"/>
      <c r="M361" s="271"/>
      <c r="N361" s="271"/>
      <c r="O361" s="271"/>
      <c r="P361" s="271"/>
      <c r="Q361" s="271"/>
      <c r="R361" s="271"/>
      <c r="S361" s="271"/>
      <c r="T361" s="271"/>
      <c r="U361" s="271"/>
      <c r="V361" s="271"/>
      <c r="W361" s="271"/>
      <c r="X361" s="271"/>
      <c r="Y361" s="272"/>
    </row>
    <row r="362" spans="1:25">
      <c r="A362" s="273"/>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5"/>
    </row>
    <row r="363" spans="1:25">
      <c r="A363" s="273"/>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5"/>
    </row>
    <row r="364" spans="1:25">
      <c r="A364" s="273"/>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5"/>
    </row>
    <row r="365" spans="1:25">
      <c r="A365" s="273"/>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5"/>
    </row>
    <row r="366" spans="1:25">
      <c r="A366" s="273"/>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5"/>
    </row>
    <row r="367" spans="1:25">
      <c r="A367" s="273"/>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5"/>
    </row>
    <row r="368" spans="1:25">
      <c r="A368" s="273"/>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5"/>
    </row>
    <row r="369" spans="1:32">
      <c r="A369" s="273"/>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5"/>
    </row>
    <row r="370" spans="1:32">
      <c r="A370" s="273"/>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5"/>
    </row>
    <row r="371" spans="1:32">
      <c r="A371" s="273"/>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5"/>
    </row>
    <row r="372" spans="1:32">
      <c r="A372" s="273"/>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5"/>
    </row>
    <row r="373" spans="1:32">
      <c r="A373" s="273"/>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5"/>
    </row>
    <row r="374" spans="1:32" ht="15" thickBot="1">
      <c r="A374" s="276"/>
      <c r="B374" s="277"/>
      <c r="C374" s="277"/>
      <c r="D374" s="277"/>
      <c r="E374" s="277"/>
      <c r="F374" s="277"/>
      <c r="G374" s="277"/>
      <c r="H374" s="277"/>
      <c r="I374" s="277"/>
      <c r="J374" s="277"/>
      <c r="K374" s="277"/>
      <c r="L374" s="277"/>
      <c r="M374" s="277"/>
      <c r="N374" s="277"/>
      <c r="O374" s="277"/>
      <c r="P374" s="277"/>
      <c r="Q374" s="277"/>
      <c r="R374" s="277"/>
      <c r="S374" s="277"/>
      <c r="T374" s="277"/>
      <c r="U374" s="277"/>
      <c r="V374" s="277"/>
      <c r="W374" s="277"/>
      <c r="X374" s="277"/>
      <c r="Y374" s="278"/>
    </row>
    <row r="376" spans="1:32" ht="15" thickBot="1">
      <c r="A376" s="279" t="s">
        <v>28</v>
      </c>
      <c r="B376" s="279"/>
      <c r="C376" s="279"/>
      <c r="D376" s="279"/>
    </row>
    <row r="377" spans="1:32">
      <c r="A377" s="270"/>
      <c r="B377" s="271"/>
      <c r="C377" s="271"/>
      <c r="D377" s="271"/>
      <c r="E377" s="271"/>
      <c r="F377" s="271"/>
      <c r="G377" s="271"/>
      <c r="H377" s="271"/>
      <c r="I377" s="271"/>
      <c r="J377" s="271"/>
      <c r="K377" s="271"/>
      <c r="L377" s="271"/>
      <c r="M377" s="271"/>
      <c r="N377" s="271"/>
      <c r="O377" s="271"/>
      <c r="P377" s="271"/>
      <c r="Q377" s="271"/>
      <c r="R377" s="271"/>
      <c r="S377" s="271"/>
      <c r="T377" s="271"/>
      <c r="U377" s="271"/>
      <c r="V377" s="271"/>
      <c r="W377" s="271"/>
      <c r="X377" s="271"/>
      <c r="Y377" s="272"/>
    </row>
    <row r="378" spans="1:32">
      <c r="A378" s="273"/>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5"/>
    </row>
    <row r="379" spans="1:32">
      <c r="A379" s="273"/>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5"/>
    </row>
    <row r="380" spans="1:32">
      <c r="A380" s="273"/>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5"/>
    </row>
    <row r="381" spans="1:32">
      <c r="A381" s="273"/>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5"/>
      <c r="AF381" s="11"/>
    </row>
    <row r="382" spans="1:32">
      <c r="A382" s="273"/>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5"/>
    </row>
    <row r="383" spans="1:32" ht="15" thickBot="1">
      <c r="A383" s="276"/>
      <c r="B383" s="277"/>
      <c r="C383" s="277"/>
      <c r="D383" s="277"/>
      <c r="E383" s="277"/>
      <c r="F383" s="277"/>
      <c r="G383" s="277"/>
      <c r="H383" s="277"/>
      <c r="I383" s="277"/>
      <c r="J383" s="277"/>
      <c r="K383" s="277"/>
      <c r="L383" s="277"/>
      <c r="M383" s="277"/>
      <c r="N383" s="277"/>
      <c r="O383" s="277"/>
      <c r="P383" s="277"/>
      <c r="Q383" s="277"/>
      <c r="R383" s="277"/>
      <c r="S383" s="277"/>
      <c r="T383" s="277"/>
      <c r="U383" s="277"/>
      <c r="V383" s="277"/>
      <c r="W383" s="277"/>
      <c r="X383" s="277"/>
      <c r="Y383" s="278"/>
    </row>
    <row r="385" spans="1:25" ht="15" thickBot="1">
      <c r="A385" s="279" t="s">
        <v>199</v>
      </c>
      <c r="B385" s="279"/>
      <c r="C385" s="279"/>
      <c r="D385" s="279"/>
      <c r="E385" s="279"/>
      <c r="F385" s="279"/>
      <c r="G385" s="279"/>
      <c r="H385" s="279"/>
    </row>
    <row r="386" spans="1:25" ht="15" thickBot="1">
      <c r="A386" s="280"/>
      <c r="B386" s="281"/>
      <c r="C386" s="281"/>
      <c r="D386" s="281"/>
      <c r="E386" s="281"/>
      <c r="F386" s="281"/>
      <c r="G386" s="281"/>
      <c r="H386" s="281"/>
      <c r="I386" s="281"/>
      <c r="J386" s="281"/>
      <c r="K386" s="281"/>
      <c r="L386" s="281"/>
      <c r="M386" s="281"/>
      <c r="N386" s="281"/>
      <c r="O386" s="281"/>
      <c r="P386" s="281"/>
      <c r="Q386" s="281"/>
      <c r="R386" s="281"/>
      <c r="S386" s="281"/>
      <c r="T386" s="281"/>
      <c r="U386" s="281"/>
      <c r="V386" s="281"/>
      <c r="W386" s="281"/>
      <c r="X386" s="281"/>
      <c r="Y386" s="282"/>
    </row>
    <row r="388" spans="1:25" ht="15" thickBot="1">
      <c r="A388" s="279" t="s">
        <v>85</v>
      </c>
      <c r="B388" s="279"/>
      <c r="C388" s="279"/>
      <c r="E388" s="279" t="s">
        <v>86</v>
      </c>
      <c r="F388" s="279"/>
      <c r="G388" s="279"/>
    </row>
    <row r="389" spans="1:25" ht="15" thickBot="1">
      <c r="A389" s="268"/>
      <c r="B389" s="269"/>
      <c r="E389" s="268"/>
      <c r="F389" s="269"/>
    </row>
    <row r="391" spans="1:25" s="10" customFormat="1"/>
    <row r="393" spans="1:25" ht="19" thickBot="1">
      <c r="A393" s="283" t="s">
        <v>74</v>
      </c>
      <c r="B393" s="283"/>
      <c r="C393" s="283"/>
      <c r="D393" s="283"/>
      <c r="E393" s="283"/>
      <c r="F393" s="283"/>
      <c r="H393" s="283" t="s">
        <v>165</v>
      </c>
      <c r="I393" s="283"/>
      <c r="J393" s="283"/>
    </row>
    <row r="394" spans="1:25">
      <c r="A394" s="270"/>
      <c r="B394" s="271"/>
      <c r="C394" s="271"/>
      <c r="D394" s="271"/>
      <c r="E394" s="271"/>
      <c r="F394" s="271"/>
      <c r="G394" s="271"/>
      <c r="H394" s="271"/>
      <c r="I394" s="271"/>
      <c r="J394" s="271"/>
      <c r="K394" s="271"/>
      <c r="L394" s="271"/>
      <c r="M394" s="271"/>
      <c r="N394" s="271"/>
      <c r="O394" s="271"/>
      <c r="P394" s="271"/>
      <c r="Q394" s="271"/>
      <c r="R394" s="271"/>
      <c r="S394" s="271"/>
      <c r="T394" s="271"/>
      <c r="U394" s="271"/>
      <c r="V394" s="271"/>
      <c r="W394" s="271"/>
      <c r="X394" s="271"/>
      <c r="Y394" s="272"/>
    </row>
    <row r="395" spans="1:25">
      <c r="A395" s="273"/>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5"/>
    </row>
    <row r="396" spans="1:25">
      <c r="A396" s="273"/>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5"/>
    </row>
    <row r="397" spans="1:25">
      <c r="A397" s="273"/>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5"/>
    </row>
    <row r="398" spans="1:25">
      <c r="A398" s="273"/>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5"/>
    </row>
    <row r="399" spans="1:25">
      <c r="A399" s="273"/>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5"/>
    </row>
    <row r="400" spans="1:25">
      <c r="A400" s="273"/>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5"/>
    </row>
    <row r="401" spans="1:25">
      <c r="A401" s="273"/>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5"/>
    </row>
    <row r="402" spans="1:25">
      <c r="A402" s="273"/>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5"/>
    </row>
    <row r="403" spans="1:25">
      <c r="A403" s="273"/>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5"/>
    </row>
    <row r="404" spans="1:25">
      <c r="A404" s="273"/>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5"/>
    </row>
    <row r="405" spans="1:25">
      <c r="A405" s="273"/>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5"/>
    </row>
    <row r="406" spans="1:25">
      <c r="A406" s="273"/>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5"/>
    </row>
    <row r="407" spans="1:25" ht="15" thickBot="1">
      <c r="A407" s="276"/>
      <c r="B407" s="277"/>
      <c r="C407" s="277"/>
      <c r="D407" s="277"/>
      <c r="E407" s="277"/>
      <c r="F407" s="277"/>
      <c r="G407" s="277"/>
      <c r="H407" s="277"/>
      <c r="I407" s="277"/>
      <c r="J407" s="277"/>
      <c r="K407" s="277"/>
      <c r="L407" s="277"/>
      <c r="M407" s="277"/>
      <c r="N407" s="277"/>
      <c r="O407" s="277"/>
      <c r="P407" s="277"/>
      <c r="Q407" s="277"/>
      <c r="R407" s="277"/>
      <c r="S407" s="277"/>
      <c r="T407" s="277"/>
      <c r="U407" s="277"/>
      <c r="V407" s="277"/>
      <c r="W407" s="277"/>
      <c r="X407" s="277"/>
      <c r="Y407" s="278"/>
    </row>
    <row r="409" spans="1:25" ht="15" thickBot="1">
      <c r="A409" s="279" t="s">
        <v>28</v>
      </c>
      <c r="B409" s="279"/>
      <c r="C409" s="279"/>
      <c r="D409" s="279"/>
    </row>
    <row r="410" spans="1:25">
      <c r="A410" s="270"/>
      <c r="B410" s="271"/>
      <c r="C410" s="271"/>
      <c r="D410" s="271"/>
      <c r="E410" s="271"/>
      <c r="F410" s="271"/>
      <c r="G410" s="271"/>
      <c r="H410" s="271"/>
      <c r="I410" s="271"/>
      <c r="J410" s="271"/>
      <c r="K410" s="271"/>
      <c r="L410" s="271"/>
      <c r="M410" s="271"/>
      <c r="N410" s="271"/>
      <c r="O410" s="271"/>
      <c r="P410" s="271"/>
      <c r="Q410" s="271"/>
      <c r="R410" s="271"/>
      <c r="S410" s="271"/>
      <c r="T410" s="271"/>
      <c r="U410" s="271"/>
      <c r="V410" s="271"/>
      <c r="W410" s="271"/>
      <c r="X410" s="271"/>
      <c r="Y410" s="272"/>
    </row>
    <row r="411" spans="1:25">
      <c r="A411" s="273"/>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5"/>
    </row>
    <row r="412" spans="1:25">
      <c r="A412" s="273"/>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5"/>
    </row>
    <row r="413" spans="1:25">
      <c r="A413" s="273"/>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5"/>
    </row>
    <row r="414" spans="1:25">
      <c r="A414" s="273"/>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5"/>
    </row>
    <row r="415" spans="1:25">
      <c r="A415" s="273"/>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5"/>
    </row>
    <row r="416" spans="1:25" ht="15" thickBot="1">
      <c r="A416" s="276"/>
      <c r="B416" s="277"/>
      <c r="C416" s="277"/>
      <c r="D416" s="277"/>
      <c r="E416" s="277"/>
      <c r="F416" s="277"/>
      <c r="G416" s="277"/>
      <c r="H416" s="277"/>
      <c r="I416" s="277"/>
      <c r="J416" s="277"/>
      <c r="K416" s="277"/>
      <c r="L416" s="277"/>
      <c r="M416" s="277"/>
      <c r="N416" s="277"/>
      <c r="O416" s="277"/>
      <c r="P416" s="277"/>
      <c r="Q416" s="277"/>
      <c r="R416" s="277"/>
      <c r="S416" s="277"/>
      <c r="T416" s="277"/>
      <c r="U416" s="277"/>
      <c r="V416" s="277"/>
      <c r="W416" s="277"/>
      <c r="X416" s="277"/>
      <c r="Y416" s="278"/>
    </row>
    <row r="418" spans="1:25" ht="15" thickBot="1">
      <c r="A418" s="279" t="s">
        <v>199</v>
      </c>
      <c r="B418" s="279"/>
      <c r="C418" s="279"/>
      <c r="D418" s="279"/>
      <c r="E418" s="279"/>
      <c r="F418" s="279"/>
      <c r="G418" s="279"/>
      <c r="H418" s="279"/>
    </row>
    <row r="419" spans="1:25" ht="15" thickBot="1">
      <c r="A419" s="280"/>
      <c r="B419" s="281"/>
      <c r="C419" s="281"/>
      <c r="D419" s="281"/>
      <c r="E419" s="281"/>
      <c r="F419" s="281"/>
      <c r="G419" s="281"/>
      <c r="H419" s="281"/>
      <c r="I419" s="281"/>
      <c r="J419" s="281"/>
      <c r="K419" s="281"/>
      <c r="L419" s="281"/>
      <c r="M419" s="281"/>
      <c r="N419" s="281"/>
      <c r="O419" s="281"/>
      <c r="P419" s="281"/>
      <c r="Q419" s="281"/>
      <c r="R419" s="281"/>
      <c r="S419" s="281"/>
      <c r="T419" s="281"/>
      <c r="U419" s="281"/>
      <c r="V419" s="281"/>
      <c r="W419" s="281"/>
      <c r="X419" s="281"/>
      <c r="Y419" s="282"/>
    </row>
    <row r="421" spans="1:25" ht="15" thickBot="1">
      <c r="A421" s="279" t="s">
        <v>85</v>
      </c>
      <c r="B421" s="279"/>
      <c r="C421" s="279"/>
      <c r="E421" s="279" t="s">
        <v>86</v>
      </c>
      <c r="F421" s="279"/>
      <c r="G421" s="279"/>
    </row>
    <row r="422" spans="1:25" ht="15" thickBot="1">
      <c r="A422" s="268"/>
      <c r="B422" s="269"/>
      <c r="E422" s="268"/>
      <c r="F422" s="269"/>
    </row>
    <row r="424" spans="1:25" s="10" customFormat="1"/>
    <row r="426" spans="1:25" ht="19" thickBot="1">
      <c r="A426" s="283" t="s">
        <v>75</v>
      </c>
      <c r="B426" s="283"/>
      <c r="C426" s="283"/>
      <c r="D426" s="283"/>
      <c r="E426" s="283"/>
      <c r="F426" s="283"/>
      <c r="H426" s="283" t="s">
        <v>165</v>
      </c>
      <c r="I426" s="283"/>
      <c r="J426" s="283"/>
    </row>
    <row r="427" spans="1:25">
      <c r="A427" s="270"/>
      <c r="B427" s="271"/>
      <c r="C427" s="271"/>
      <c r="D427" s="271"/>
      <c r="E427" s="271"/>
      <c r="F427" s="271"/>
      <c r="G427" s="271"/>
      <c r="H427" s="271"/>
      <c r="I427" s="271"/>
      <c r="J427" s="271"/>
      <c r="K427" s="271"/>
      <c r="L427" s="271"/>
      <c r="M427" s="271"/>
      <c r="N427" s="271"/>
      <c r="O427" s="271"/>
      <c r="P427" s="271"/>
      <c r="Q427" s="271"/>
      <c r="R427" s="271"/>
      <c r="S427" s="271"/>
      <c r="T427" s="271"/>
      <c r="U427" s="271"/>
      <c r="V427" s="271"/>
      <c r="W427" s="271"/>
      <c r="X427" s="271"/>
      <c r="Y427" s="272"/>
    </row>
    <row r="428" spans="1:25">
      <c r="A428" s="273"/>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5"/>
    </row>
    <row r="429" spans="1:25">
      <c r="A429" s="273"/>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5"/>
    </row>
    <row r="430" spans="1:25">
      <c r="A430" s="273"/>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5"/>
    </row>
    <row r="431" spans="1:25">
      <c r="A431" s="273"/>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5"/>
    </row>
    <row r="432" spans="1:25">
      <c r="A432" s="273"/>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5"/>
    </row>
    <row r="433" spans="1:25">
      <c r="A433" s="273"/>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5"/>
    </row>
    <row r="434" spans="1:25">
      <c r="A434" s="273"/>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5"/>
    </row>
    <row r="435" spans="1:25">
      <c r="A435" s="273"/>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5"/>
    </row>
    <row r="436" spans="1:25">
      <c r="A436" s="273"/>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5"/>
    </row>
    <row r="437" spans="1:25">
      <c r="A437" s="273"/>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5"/>
    </row>
    <row r="438" spans="1:25">
      <c r="A438" s="273"/>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5"/>
    </row>
    <row r="439" spans="1:25">
      <c r="A439" s="273"/>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5"/>
    </row>
    <row r="440" spans="1:25" ht="15" thickBot="1">
      <c r="A440" s="276"/>
      <c r="B440" s="277"/>
      <c r="C440" s="277"/>
      <c r="D440" s="277"/>
      <c r="E440" s="277"/>
      <c r="F440" s="277"/>
      <c r="G440" s="277"/>
      <c r="H440" s="277"/>
      <c r="I440" s="277"/>
      <c r="J440" s="277"/>
      <c r="K440" s="277"/>
      <c r="L440" s="277"/>
      <c r="M440" s="277"/>
      <c r="N440" s="277"/>
      <c r="O440" s="277"/>
      <c r="P440" s="277"/>
      <c r="Q440" s="277"/>
      <c r="R440" s="277"/>
      <c r="S440" s="277"/>
      <c r="T440" s="277"/>
      <c r="U440" s="277"/>
      <c r="V440" s="277"/>
      <c r="W440" s="277"/>
      <c r="X440" s="277"/>
      <c r="Y440" s="278"/>
    </row>
    <row r="442" spans="1:25" ht="15" thickBot="1">
      <c r="A442" s="279" t="s">
        <v>28</v>
      </c>
      <c r="B442" s="279"/>
      <c r="C442" s="279"/>
      <c r="D442" s="279"/>
    </row>
    <row r="443" spans="1:25">
      <c r="A443" s="270"/>
      <c r="B443" s="271"/>
      <c r="C443" s="271"/>
      <c r="D443" s="271"/>
      <c r="E443" s="271"/>
      <c r="F443" s="271"/>
      <c r="G443" s="271"/>
      <c r="H443" s="271"/>
      <c r="I443" s="271"/>
      <c r="J443" s="271"/>
      <c r="K443" s="271"/>
      <c r="L443" s="271"/>
      <c r="M443" s="271"/>
      <c r="N443" s="271"/>
      <c r="O443" s="271"/>
      <c r="P443" s="271"/>
      <c r="Q443" s="271"/>
      <c r="R443" s="271"/>
      <c r="S443" s="271"/>
      <c r="T443" s="271"/>
      <c r="U443" s="271"/>
      <c r="V443" s="271"/>
      <c r="W443" s="271"/>
      <c r="X443" s="271"/>
      <c r="Y443" s="272"/>
    </row>
    <row r="444" spans="1:25">
      <c r="A444" s="273"/>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5"/>
    </row>
    <row r="445" spans="1:25">
      <c r="A445" s="273"/>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5"/>
    </row>
    <row r="446" spans="1:25">
      <c r="A446" s="273"/>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5"/>
    </row>
    <row r="447" spans="1:25">
      <c r="A447" s="273"/>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5"/>
    </row>
    <row r="448" spans="1:25">
      <c r="A448" s="273"/>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5"/>
    </row>
    <row r="449" spans="1:25" ht="15" thickBot="1">
      <c r="A449" s="276"/>
      <c r="B449" s="277"/>
      <c r="C449" s="277"/>
      <c r="D449" s="277"/>
      <c r="E449" s="277"/>
      <c r="F449" s="277"/>
      <c r="G449" s="277"/>
      <c r="H449" s="277"/>
      <c r="I449" s="277"/>
      <c r="J449" s="277"/>
      <c r="K449" s="277"/>
      <c r="L449" s="277"/>
      <c r="M449" s="277"/>
      <c r="N449" s="277"/>
      <c r="O449" s="277"/>
      <c r="P449" s="277"/>
      <c r="Q449" s="277"/>
      <c r="R449" s="277"/>
      <c r="S449" s="277"/>
      <c r="T449" s="277"/>
      <c r="U449" s="277"/>
      <c r="V449" s="277"/>
      <c r="W449" s="277"/>
      <c r="X449" s="277"/>
      <c r="Y449" s="278"/>
    </row>
    <row r="451" spans="1:25" ht="15" thickBot="1">
      <c r="A451" s="279" t="s">
        <v>199</v>
      </c>
      <c r="B451" s="279"/>
      <c r="C451" s="279"/>
      <c r="D451" s="279"/>
      <c r="E451" s="279"/>
      <c r="F451" s="279"/>
      <c r="G451" s="279"/>
      <c r="H451" s="279"/>
    </row>
    <row r="452" spans="1:25" ht="15" thickBot="1">
      <c r="A452" s="280"/>
      <c r="B452" s="281"/>
      <c r="C452" s="281"/>
      <c r="D452" s="281"/>
      <c r="E452" s="281"/>
      <c r="F452" s="281"/>
      <c r="G452" s="281"/>
      <c r="H452" s="281"/>
      <c r="I452" s="281"/>
      <c r="J452" s="281"/>
      <c r="K452" s="281"/>
      <c r="L452" s="281"/>
      <c r="M452" s="281"/>
      <c r="N452" s="281"/>
      <c r="O452" s="281"/>
      <c r="P452" s="281"/>
      <c r="Q452" s="281"/>
      <c r="R452" s="281"/>
      <c r="S452" s="281"/>
      <c r="T452" s="281"/>
      <c r="U452" s="281"/>
      <c r="V452" s="281"/>
      <c r="W452" s="281"/>
      <c r="X452" s="281"/>
      <c r="Y452" s="282"/>
    </row>
    <row r="454" spans="1:25" ht="15" thickBot="1">
      <c r="A454" s="279" t="s">
        <v>85</v>
      </c>
      <c r="B454" s="279"/>
      <c r="C454" s="279"/>
      <c r="E454" s="279" t="s">
        <v>86</v>
      </c>
      <c r="F454" s="279"/>
      <c r="G454" s="279"/>
    </row>
    <row r="455" spans="1:25" ht="15" thickBot="1">
      <c r="A455" s="268"/>
      <c r="B455" s="269"/>
      <c r="E455" s="268"/>
      <c r="F455" s="269"/>
    </row>
    <row r="457" spans="1:25" s="10" customFormat="1"/>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153">
    <mergeCell ref="H426:J426"/>
    <mergeCell ref="H2:J2"/>
    <mergeCell ref="H35:J35"/>
    <mergeCell ref="H101:J101"/>
    <mergeCell ref="H134:J134"/>
    <mergeCell ref="H167:J167"/>
    <mergeCell ref="H200:J200"/>
    <mergeCell ref="H233:J233"/>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256:G256"/>
    <mergeCell ref="E257:F257"/>
    <mergeCell ref="E290:F290"/>
    <mergeCell ref="A200:F200"/>
    <mergeCell ref="A233:F233"/>
    <mergeCell ref="A278:Y284"/>
    <mergeCell ref="A286:H286"/>
    <mergeCell ref="A234:Y242"/>
    <mergeCell ref="A244:D244"/>
    <mergeCell ref="A245:Y251"/>
    <mergeCell ref="A253:H253"/>
    <mergeCell ref="A254:Y254"/>
    <mergeCell ref="A256:C256"/>
    <mergeCell ref="A290:B290"/>
    <mergeCell ref="A262:Y275"/>
    <mergeCell ref="A277:D277"/>
    <mergeCell ref="E228:G228"/>
    <mergeCell ref="E229:F229"/>
    <mergeCell ref="A201:Y214"/>
    <mergeCell ref="A216:D216"/>
    <mergeCell ref="H261:J261"/>
    <mergeCell ref="A261:F261"/>
    <mergeCell ref="A294:F294"/>
    <mergeCell ref="A310:D310"/>
    <mergeCell ref="A426:F426"/>
    <mergeCell ref="A217:Y223"/>
    <mergeCell ref="A225:H225"/>
    <mergeCell ref="A226:Y226"/>
    <mergeCell ref="A228:C228"/>
    <mergeCell ref="A229:B229"/>
    <mergeCell ref="A257:B257"/>
    <mergeCell ref="A323:B323"/>
    <mergeCell ref="A287:Y287"/>
    <mergeCell ref="A289:C289"/>
    <mergeCell ref="E323:F323"/>
    <mergeCell ref="A356:B356"/>
    <mergeCell ref="A361:Y374"/>
    <mergeCell ref="H294:J294"/>
    <mergeCell ref="H327:J327"/>
    <mergeCell ref="H360:J360"/>
    <mergeCell ref="A376:D376"/>
    <mergeCell ref="A377:Y383"/>
    <mergeCell ref="A385:H385"/>
    <mergeCell ref="E289:G289"/>
    <mergeCell ref="A360:F360"/>
    <mergeCell ref="A319:H319"/>
    <mergeCell ref="A68:F68"/>
    <mergeCell ref="A101:F101"/>
    <mergeCell ref="A3:Y16"/>
    <mergeCell ref="A27:H27"/>
    <mergeCell ref="A18:D18"/>
    <mergeCell ref="A19:Y25"/>
    <mergeCell ref="A97:B97"/>
    <mergeCell ref="E96:G96"/>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29:G129"/>
    <mergeCell ref="E130:F130"/>
    <mergeCell ref="A160:Y160"/>
    <mergeCell ref="A162:C162"/>
    <mergeCell ref="A163:B163"/>
    <mergeCell ref="A2:F2"/>
    <mergeCell ref="A35:F35"/>
    <mergeCell ref="A52:Y58"/>
    <mergeCell ref="A60:H60"/>
    <mergeCell ref="A61:Y61"/>
    <mergeCell ref="A63:C63"/>
    <mergeCell ref="A64:B64"/>
    <mergeCell ref="A28:Y28"/>
    <mergeCell ref="A30:C30"/>
    <mergeCell ref="A31:B31"/>
    <mergeCell ref="A36:Y49"/>
    <mergeCell ref="A51:D51"/>
    <mergeCell ref="E30:G30"/>
    <mergeCell ref="E31:F31"/>
    <mergeCell ref="E63:G63"/>
    <mergeCell ref="E64:F64"/>
    <mergeCell ref="A320:Y320"/>
    <mergeCell ref="A322:C322"/>
    <mergeCell ref="A295:Y308"/>
    <mergeCell ref="E322:G322"/>
    <mergeCell ref="A410:Y416"/>
    <mergeCell ref="A418:H418"/>
    <mergeCell ref="A419:Y419"/>
    <mergeCell ref="A328:Y341"/>
    <mergeCell ref="A343:D343"/>
    <mergeCell ref="A344:Y350"/>
    <mergeCell ref="A352:H352"/>
    <mergeCell ref="A353:Y353"/>
    <mergeCell ref="A355:C355"/>
    <mergeCell ref="E355:G355"/>
    <mergeCell ref="E356:F356"/>
    <mergeCell ref="A327:F327"/>
    <mergeCell ref="A311:Y317"/>
    <mergeCell ref="A421:C421"/>
    <mergeCell ref="A422:B422"/>
    <mergeCell ref="A386:Y386"/>
    <mergeCell ref="A388:C388"/>
    <mergeCell ref="A389:B389"/>
    <mergeCell ref="A394:Y407"/>
    <mergeCell ref="A409:D409"/>
    <mergeCell ref="E388:G388"/>
    <mergeCell ref="E389:F389"/>
    <mergeCell ref="E421:G421"/>
    <mergeCell ref="E422:F422"/>
    <mergeCell ref="H393:J393"/>
    <mergeCell ref="A393:F393"/>
    <mergeCell ref="A455:B455"/>
    <mergeCell ref="A427:Y440"/>
    <mergeCell ref="A442:D442"/>
    <mergeCell ref="A443:Y449"/>
    <mergeCell ref="A451:H451"/>
    <mergeCell ref="A452:Y452"/>
    <mergeCell ref="A454:C454"/>
    <mergeCell ref="E454:G454"/>
    <mergeCell ref="E455:F455"/>
  </mergeCells>
  <dataValidations count="1">
    <dataValidation type="list" allowBlank="1" showInputMessage="1" showErrorMessage="1" sqref="A31:B31 E31:F31 A64:B64 E64:F64 A97:B97 E97:F97 A130:B130 E130:F130 A163:B163 E163:F163 A196:B196 E196:F196 A229:B229 E229:F229 A257:B257 E257:F257 A290:B290 E290:F290 A323:B323 E323:F323 A356:B356 E356:F356 A389:B389 E389:F389 A422:B422 E422:F422 A455:B455 E455:F455" xr:uid="{00000000-0002-0000-0100-000000000000}">
      <formula1>Quarter1</formula1>
    </dataValidation>
  </dataValidation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3"/>
  <sheetViews>
    <sheetView tabSelected="1" topLeftCell="Q1" zoomScaleNormal="100" workbookViewId="0">
      <selection activeCell="S53" sqref="S53"/>
    </sheetView>
  </sheetViews>
  <sheetFormatPr defaultColWidth="9.453125" defaultRowHeight="14.5"/>
  <cols>
    <col min="2" max="2" width="9.453125" hidden="1" customWidth="1"/>
    <col min="3" max="3" width="10.453125" customWidth="1"/>
    <col min="4" max="4" width="9.54296875" customWidth="1"/>
    <col min="5" max="5" width="25" customWidth="1"/>
    <col min="6" max="6" width="11" customWidth="1"/>
    <col min="14" max="14" width="8.7265625" customWidth="1"/>
    <col min="15" max="15" width="16.81640625" customWidth="1"/>
    <col min="16" max="16" width="28.453125" customWidth="1"/>
    <col min="17" max="17" width="42.7265625" style="16" customWidth="1"/>
    <col min="18" max="18" width="19" style="3" customWidth="1"/>
    <col min="19" max="19" width="38.26953125" style="16" customWidth="1"/>
    <col min="20" max="20" width="19" style="3" customWidth="1"/>
    <col min="21" max="21" width="38.26953125" style="16" customWidth="1"/>
  </cols>
  <sheetData>
    <row r="1" spans="1:25" ht="19" thickBot="1">
      <c r="A1" s="39" t="s">
        <v>89</v>
      </c>
      <c r="B1" s="39"/>
      <c r="C1" s="39"/>
      <c r="D1" s="336"/>
      <c r="E1" s="337"/>
    </row>
    <row r="3" spans="1:25" ht="18.5">
      <c r="A3" s="42" t="s">
        <v>29</v>
      </c>
      <c r="B3" s="42"/>
      <c r="C3" s="42"/>
      <c r="D3" s="42"/>
      <c r="E3" s="12"/>
      <c r="F3" s="12"/>
      <c r="G3" s="12"/>
      <c r="H3" s="12"/>
      <c r="I3" s="12"/>
      <c r="J3" s="12"/>
      <c r="K3" s="12"/>
      <c r="L3" s="12"/>
      <c r="M3" s="12"/>
      <c r="N3" s="12"/>
      <c r="O3" s="12"/>
      <c r="P3" s="12"/>
      <c r="Q3" s="12"/>
      <c r="R3" s="12"/>
      <c r="S3" s="12"/>
      <c r="T3" s="12"/>
      <c r="U3" s="12"/>
      <c r="V3" s="12"/>
      <c r="W3" s="12"/>
      <c r="X3" s="12"/>
      <c r="Y3" s="12"/>
    </row>
    <row r="4" spans="1:25" ht="15" customHeight="1">
      <c r="A4" s="13" t="s">
        <v>26</v>
      </c>
      <c r="B4" s="40"/>
      <c r="C4" s="40"/>
      <c r="D4" s="40"/>
      <c r="E4" s="40"/>
      <c r="F4" s="40"/>
      <c r="G4" s="9"/>
      <c r="H4" s="9"/>
      <c r="Q4"/>
      <c r="R4"/>
      <c r="S4"/>
      <c r="T4"/>
      <c r="U4"/>
    </row>
    <row r="5" spans="1:25" ht="15" thickBot="1">
      <c r="A5" s="40"/>
      <c r="B5" s="40"/>
      <c r="C5" s="40"/>
      <c r="D5" s="40"/>
      <c r="E5" s="40"/>
      <c r="F5" s="40"/>
      <c r="G5" s="9"/>
      <c r="H5" s="9"/>
      <c r="Q5"/>
      <c r="R5"/>
      <c r="S5"/>
      <c r="T5"/>
      <c r="U5"/>
    </row>
    <row r="6" spans="1:25" ht="15" customHeight="1" thickBot="1">
      <c r="A6" s="13" t="s">
        <v>90</v>
      </c>
      <c r="B6" s="40"/>
      <c r="C6" s="40"/>
      <c r="D6" s="40"/>
      <c r="E6" s="40"/>
      <c r="F6" s="198">
        <f>O105</f>
        <v>2380.8679999999999</v>
      </c>
      <c r="G6" s="9"/>
      <c r="H6" s="9"/>
      <c r="Q6"/>
      <c r="R6"/>
      <c r="S6"/>
      <c r="T6"/>
      <c r="U6"/>
    </row>
    <row r="7" spans="1:25" ht="15" thickBot="1">
      <c r="A7" s="40"/>
      <c r="B7" s="40"/>
      <c r="C7" s="40"/>
      <c r="D7" s="40"/>
      <c r="E7" s="40"/>
      <c r="F7" s="40"/>
      <c r="G7" s="40"/>
      <c r="H7" s="40"/>
      <c r="Q7"/>
      <c r="R7"/>
      <c r="S7"/>
      <c r="T7"/>
      <c r="U7"/>
    </row>
    <row r="8" spans="1:25" ht="15" customHeight="1" thickBot="1">
      <c r="A8" t="s">
        <v>27</v>
      </c>
      <c r="G8" s="16"/>
      <c r="H8" s="62" t="s">
        <v>30</v>
      </c>
      <c r="K8" s="40"/>
      <c r="L8" s="3" t="s">
        <v>40</v>
      </c>
      <c r="M8" s="40"/>
      <c r="N8" s="40"/>
      <c r="O8" s="40"/>
      <c r="P8" s="40"/>
      <c r="Q8"/>
      <c r="R8"/>
      <c r="S8"/>
      <c r="T8"/>
      <c r="U8"/>
    </row>
    <row r="9" spans="1:25">
      <c r="A9" s="40"/>
      <c r="B9" s="40"/>
      <c r="C9" s="40"/>
      <c r="D9" s="40"/>
      <c r="E9" s="40"/>
      <c r="F9" s="40"/>
      <c r="G9" s="40"/>
      <c r="H9" s="40"/>
      <c r="Q9"/>
      <c r="R9"/>
      <c r="S9"/>
      <c r="T9"/>
      <c r="U9"/>
    </row>
    <row r="10" spans="1:25" ht="15" thickBot="1">
      <c r="A10" s="41" t="s">
        <v>76</v>
      </c>
      <c r="B10" s="41"/>
      <c r="C10" s="41"/>
      <c r="D10" s="41"/>
      <c r="E10" s="41"/>
      <c r="F10" s="41"/>
      <c r="G10" s="41"/>
      <c r="H10" s="41"/>
      <c r="I10" s="41"/>
      <c r="J10" s="41"/>
      <c r="K10" s="41"/>
      <c r="Q10"/>
      <c r="R10"/>
      <c r="S10"/>
      <c r="T10"/>
      <c r="U10"/>
    </row>
    <row r="11" spans="1:25">
      <c r="A11" s="351" t="s">
        <v>231</v>
      </c>
      <c r="B11" s="352"/>
      <c r="C11" s="352"/>
      <c r="D11" s="352"/>
      <c r="E11" s="352"/>
      <c r="F11" s="352"/>
      <c r="G11" s="352"/>
      <c r="H11" s="352"/>
      <c r="I11" s="352"/>
      <c r="J11" s="352"/>
      <c r="K11" s="352"/>
      <c r="L11" s="352"/>
      <c r="M11" s="352"/>
      <c r="N11" s="352"/>
      <c r="O11" s="352"/>
      <c r="P11" s="352"/>
      <c r="Q11" s="353"/>
      <c r="R11" s="9"/>
      <c r="S11" s="9"/>
      <c r="T11" s="9"/>
      <c r="U11" s="9"/>
      <c r="V11" s="9"/>
      <c r="W11" s="9"/>
      <c r="X11" s="9"/>
      <c r="Y11" s="9"/>
    </row>
    <row r="12" spans="1:25">
      <c r="A12" s="354"/>
      <c r="B12" s="355"/>
      <c r="C12" s="355"/>
      <c r="D12" s="355"/>
      <c r="E12" s="355"/>
      <c r="F12" s="355"/>
      <c r="G12" s="355"/>
      <c r="H12" s="355"/>
      <c r="I12" s="355"/>
      <c r="J12" s="355"/>
      <c r="K12" s="355"/>
      <c r="L12" s="355"/>
      <c r="M12" s="355"/>
      <c r="N12" s="355"/>
      <c r="O12" s="355"/>
      <c r="P12" s="355"/>
      <c r="Q12" s="356"/>
      <c r="R12" s="9"/>
      <c r="S12" s="9"/>
      <c r="T12" s="9"/>
      <c r="U12" s="9"/>
      <c r="V12" s="9"/>
      <c r="W12" s="9"/>
      <c r="X12" s="9"/>
      <c r="Y12" s="9"/>
    </row>
    <row r="13" spans="1:25">
      <c r="A13" s="354"/>
      <c r="B13" s="355"/>
      <c r="C13" s="355"/>
      <c r="D13" s="355"/>
      <c r="E13" s="355"/>
      <c r="F13" s="355"/>
      <c r="G13" s="355"/>
      <c r="H13" s="355"/>
      <c r="I13" s="355"/>
      <c r="J13" s="355"/>
      <c r="K13" s="355"/>
      <c r="L13" s="355"/>
      <c r="M13" s="355"/>
      <c r="N13" s="355"/>
      <c r="O13" s="355"/>
      <c r="P13" s="355"/>
      <c r="Q13" s="356"/>
      <c r="R13" s="9"/>
      <c r="S13" s="9"/>
      <c r="T13" s="9"/>
      <c r="U13" s="9"/>
      <c r="V13" s="9"/>
      <c r="W13" s="9"/>
      <c r="X13" s="9"/>
      <c r="Y13" s="9"/>
    </row>
    <row r="14" spans="1:25">
      <c r="A14" s="354"/>
      <c r="B14" s="355"/>
      <c r="C14" s="355"/>
      <c r="D14" s="355"/>
      <c r="E14" s="355"/>
      <c r="F14" s="355"/>
      <c r="G14" s="355"/>
      <c r="H14" s="355"/>
      <c r="I14" s="355"/>
      <c r="J14" s="355"/>
      <c r="K14" s="355"/>
      <c r="L14" s="355"/>
      <c r="M14" s="355"/>
      <c r="N14" s="355"/>
      <c r="O14" s="355"/>
      <c r="P14" s="355"/>
      <c r="Q14" s="356"/>
      <c r="R14" s="9"/>
      <c r="S14" s="9"/>
      <c r="T14" s="9"/>
      <c r="U14" s="9"/>
      <c r="V14" s="9"/>
      <c r="W14" s="9"/>
      <c r="X14" s="9"/>
      <c r="Y14" s="9"/>
    </row>
    <row r="15" spans="1:25" ht="13.5" customHeight="1" thickBot="1">
      <c r="A15" s="357"/>
      <c r="B15" s="358"/>
      <c r="C15" s="358"/>
      <c r="D15" s="358"/>
      <c r="E15" s="358"/>
      <c r="F15" s="358"/>
      <c r="G15" s="358"/>
      <c r="H15" s="358"/>
      <c r="I15" s="358"/>
      <c r="J15" s="358"/>
      <c r="K15" s="358"/>
      <c r="L15" s="358"/>
      <c r="M15" s="358"/>
      <c r="N15" s="358"/>
      <c r="O15" s="358"/>
      <c r="P15" s="358"/>
      <c r="Q15" s="359"/>
      <c r="R15" s="9"/>
      <c r="S15" s="9"/>
      <c r="T15" s="9"/>
      <c r="U15" s="9"/>
      <c r="V15" s="9"/>
      <c r="W15" s="9"/>
      <c r="X15" s="9"/>
      <c r="Y15" s="9"/>
    </row>
    <row r="20" spans="1:21" ht="23.5">
      <c r="A20" s="312" t="s">
        <v>187</v>
      </c>
      <c r="B20" s="312"/>
      <c r="C20" s="312"/>
      <c r="D20" s="312"/>
      <c r="E20" s="30"/>
      <c r="F20" s="30"/>
      <c r="G20" s="30"/>
      <c r="H20" s="30"/>
      <c r="I20" s="30"/>
      <c r="J20" s="30"/>
      <c r="K20" s="30"/>
      <c r="L20" s="30"/>
    </row>
    <row r="21" spans="1:21" s="88" customFormat="1" ht="37.5" customHeight="1">
      <c r="A21" s="89" t="s">
        <v>91</v>
      </c>
      <c r="B21" s="90"/>
      <c r="C21" s="90"/>
      <c r="D21" s="90"/>
      <c r="E21" s="90"/>
      <c r="F21" s="90"/>
      <c r="G21" s="90"/>
      <c r="H21" s="90"/>
      <c r="I21" s="90"/>
      <c r="J21" s="90"/>
      <c r="K21" s="90"/>
      <c r="L21" s="90"/>
      <c r="M21" s="90"/>
      <c r="N21" s="91"/>
      <c r="O21" s="92" t="s">
        <v>87</v>
      </c>
      <c r="P21" s="92" t="s">
        <v>37</v>
      </c>
      <c r="Q21" s="93" t="s">
        <v>88</v>
      </c>
      <c r="R21" s="92" t="s">
        <v>38</v>
      </c>
      <c r="S21" s="93" t="s">
        <v>88</v>
      </c>
      <c r="T21" s="92" t="s">
        <v>39</v>
      </c>
      <c r="U21" s="93" t="s">
        <v>88</v>
      </c>
    </row>
    <row r="22" spans="1:21">
      <c r="A22" s="43" t="s">
        <v>83</v>
      </c>
      <c r="B22" s="44"/>
      <c r="C22" s="19" t="s">
        <v>78</v>
      </c>
      <c r="D22" s="19" t="s">
        <v>77</v>
      </c>
      <c r="E22" s="47" t="s">
        <v>32</v>
      </c>
      <c r="F22" s="43" t="s">
        <v>33</v>
      </c>
      <c r="G22" s="45"/>
      <c r="H22" s="45"/>
      <c r="I22" s="45"/>
      <c r="J22" s="45"/>
      <c r="K22" s="45"/>
      <c r="L22" s="45"/>
      <c r="M22" s="45"/>
      <c r="N22" s="44"/>
      <c r="O22" s="15" t="s">
        <v>34</v>
      </c>
      <c r="P22" s="15" t="s">
        <v>34</v>
      </c>
      <c r="Q22" s="22"/>
      <c r="R22" s="7" t="s">
        <v>34</v>
      </c>
      <c r="S22" s="23"/>
      <c r="T22" s="7" t="s">
        <v>34</v>
      </c>
      <c r="U22" s="23"/>
    </row>
    <row r="23" spans="1:21" s="61" customFormat="1" ht="52.5" customHeight="1">
      <c r="A23" s="52">
        <v>8</v>
      </c>
      <c r="B23" s="53"/>
      <c r="C23" s="54" t="s">
        <v>55</v>
      </c>
      <c r="D23" s="52" t="s">
        <v>58</v>
      </c>
      <c r="E23" s="55" t="s">
        <v>1</v>
      </c>
      <c r="F23" s="338" t="s">
        <v>250</v>
      </c>
      <c r="G23" s="339"/>
      <c r="H23" s="339"/>
      <c r="I23" s="339"/>
      <c r="J23" s="339"/>
      <c r="K23" s="339"/>
      <c r="L23" s="339"/>
      <c r="M23" s="339"/>
      <c r="N23" s="340"/>
      <c r="O23" s="56">
        <v>20800</v>
      </c>
      <c r="P23" s="56">
        <v>20800</v>
      </c>
      <c r="Q23" s="58"/>
      <c r="R23" s="56">
        <v>20800</v>
      </c>
      <c r="S23" s="60"/>
      <c r="T23" s="59"/>
      <c r="U23" s="60"/>
    </row>
    <row r="24" spans="1:21" s="61" customFormat="1" ht="52.5" customHeight="1">
      <c r="A24" s="52">
        <v>1</v>
      </c>
      <c r="B24" s="53"/>
      <c r="C24" s="54" t="s">
        <v>55</v>
      </c>
      <c r="D24" s="52" t="s">
        <v>55</v>
      </c>
      <c r="E24" s="55" t="s">
        <v>3</v>
      </c>
      <c r="F24" s="322" t="s">
        <v>232</v>
      </c>
      <c r="G24" s="323"/>
      <c r="H24" s="323"/>
      <c r="I24" s="323"/>
      <c r="J24" s="323"/>
      <c r="K24" s="323"/>
      <c r="L24" s="323"/>
      <c r="M24" s="323"/>
      <c r="N24" s="324"/>
      <c r="O24" s="56">
        <v>600</v>
      </c>
      <c r="P24" s="56">
        <v>600</v>
      </c>
      <c r="Q24" s="58"/>
      <c r="R24" s="57">
        <v>0</v>
      </c>
      <c r="S24" s="211" t="s">
        <v>276</v>
      </c>
      <c r="T24" s="59"/>
      <c r="U24" s="60"/>
    </row>
    <row r="25" spans="1:21" s="61" customFormat="1" ht="52.5" customHeight="1">
      <c r="A25" s="52"/>
      <c r="B25" s="53"/>
      <c r="C25" s="54"/>
      <c r="D25" s="52"/>
      <c r="E25" s="55"/>
      <c r="F25" s="319"/>
      <c r="G25" s="320"/>
      <c r="H25" s="320"/>
      <c r="I25" s="320"/>
      <c r="J25" s="320"/>
      <c r="K25" s="320"/>
      <c r="L25" s="320"/>
      <c r="M25" s="320"/>
      <c r="N25" s="321"/>
      <c r="O25" s="56"/>
      <c r="P25" s="56"/>
      <c r="Q25" s="58"/>
      <c r="R25" s="59"/>
      <c r="S25" s="60"/>
      <c r="T25" s="59"/>
      <c r="U25" s="60"/>
    </row>
    <row r="26" spans="1:21" s="1" customFormat="1">
      <c r="L26" s="26" t="s">
        <v>92</v>
      </c>
      <c r="O26" s="26">
        <f>SUM(O23:O25)</f>
        <v>21400</v>
      </c>
      <c r="P26" s="26">
        <f>SUM(P23:P25)</f>
        <v>21400</v>
      </c>
      <c r="Q26" s="18"/>
      <c r="R26" s="135">
        <f>SUM(R23:R25)</f>
        <v>20800</v>
      </c>
      <c r="S26" s="18"/>
      <c r="T26" s="135">
        <f>SUM(T23:T25)</f>
        <v>0</v>
      </c>
      <c r="U26" s="18"/>
    </row>
    <row r="28" spans="1:21" s="88" customFormat="1" ht="37.5" customHeight="1">
      <c r="A28" s="89" t="s">
        <v>166</v>
      </c>
      <c r="B28" s="90"/>
      <c r="C28" s="90"/>
      <c r="D28" s="90"/>
      <c r="E28" s="90"/>
      <c r="F28" s="90"/>
      <c r="G28" s="90"/>
      <c r="H28" s="90"/>
      <c r="I28" s="90"/>
      <c r="J28" s="90"/>
      <c r="K28" s="90"/>
      <c r="L28" s="90"/>
      <c r="M28" s="90"/>
      <c r="N28" s="91"/>
      <c r="O28" s="92" t="s">
        <v>87</v>
      </c>
      <c r="P28" s="92" t="s">
        <v>37</v>
      </c>
      <c r="Q28" s="93" t="s">
        <v>88</v>
      </c>
      <c r="R28" s="92" t="s">
        <v>38</v>
      </c>
      <c r="S28" s="93" t="s">
        <v>88</v>
      </c>
      <c r="T28" s="92" t="s">
        <v>39</v>
      </c>
      <c r="U28" s="93" t="s">
        <v>88</v>
      </c>
    </row>
    <row r="29" spans="1:21">
      <c r="A29" s="43" t="s">
        <v>83</v>
      </c>
      <c r="B29" s="44"/>
      <c r="C29" s="19" t="s">
        <v>78</v>
      </c>
      <c r="D29" s="19" t="s">
        <v>77</v>
      </c>
      <c r="E29" s="47" t="s">
        <v>32</v>
      </c>
      <c r="F29" s="43" t="s">
        <v>33</v>
      </c>
      <c r="G29" s="45"/>
      <c r="H29" s="45"/>
      <c r="I29" s="45"/>
      <c r="J29" s="45"/>
      <c r="K29" s="45"/>
      <c r="L29" s="45"/>
      <c r="M29" s="45"/>
      <c r="N29" s="44"/>
      <c r="O29" s="15" t="s">
        <v>34</v>
      </c>
      <c r="P29" s="15" t="s">
        <v>34</v>
      </c>
      <c r="Q29" s="22"/>
      <c r="R29" s="7" t="s">
        <v>34</v>
      </c>
      <c r="S29" s="23"/>
      <c r="T29" s="7" t="s">
        <v>34</v>
      </c>
      <c r="U29" s="23"/>
    </row>
    <row r="30" spans="1:21" s="61" customFormat="1" ht="52.5" customHeight="1">
      <c r="A30" s="52">
        <v>8</v>
      </c>
      <c r="B30" s="53"/>
      <c r="C30" s="54" t="s">
        <v>55</v>
      </c>
      <c r="D30" s="52" t="s">
        <v>58</v>
      </c>
      <c r="E30" s="63" t="s">
        <v>4</v>
      </c>
      <c r="F30" s="309" t="s">
        <v>233</v>
      </c>
      <c r="G30" s="310"/>
      <c r="H30" s="310"/>
      <c r="I30" s="310"/>
      <c r="J30" s="310"/>
      <c r="K30" s="310"/>
      <c r="L30" s="310"/>
      <c r="M30" s="310"/>
      <c r="N30" s="311"/>
      <c r="O30" s="56">
        <f>O23*0.18</f>
        <v>3744</v>
      </c>
      <c r="P30" s="56">
        <f>P23*0.18</f>
        <v>3744</v>
      </c>
      <c r="Q30" s="58"/>
      <c r="R30" s="56">
        <f>R23*0.18</f>
        <v>3744</v>
      </c>
      <c r="S30" s="60"/>
      <c r="T30" s="59"/>
      <c r="U30" s="60"/>
    </row>
    <row r="31" spans="1:21" s="61" customFormat="1" ht="52.5" customHeight="1">
      <c r="A31" s="52">
        <v>8</v>
      </c>
      <c r="B31" s="53"/>
      <c r="C31" s="54" t="s">
        <v>55</v>
      </c>
      <c r="D31" s="52" t="s">
        <v>58</v>
      </c>
      <c r="E31" s="63" t="s">
        <v>4</v>
      </c>
      <c r="F31" s="345" t="s">
        <v>234</v>
      </c>
      <c r="G31" s="346"/>
      <c r="H31" s="346"/>
      <c r="I31" s="346"/>
      <c r="J31" s="346"/>
      <c r="K31" s="346"/>
      <c r="L31" s="346"/>
      <c r="M31" s="346"/>
      <c r="N31" s="347"/>
      <c r="O31" s="56">
        <v>0</v>
      </c>
      <c r="P31" s="56">
        <v>0</v>
      </c>
      <c r="Q31" s="58"/>
      <c r="R31" s="56">
        <v>0</v>
      </c>
      <c r="S31" s="60"/>
      <c r="T31" s="59"/>
      <c r="U31" s="60"/>
    </row>
    <row r="32" spans="1:21" s="61" customFormat="1" ht="52.5" customHeight="1">
      <c r="A32" s="52">
        <v>1</v>
      </c>
      <c r="B32" s="53"/>
      <c r="C32" s="54" t="s">
        <v>55</v>
      </c>
      <c r="D32" s="52" t="s">
        <v>55</v>
      </c>
      <c r="E32" s="63" t="s">
        <v>4</v>
      </c>
      <c r="F32" s="322" t="s">
        <v>247</v>
      </c>
      <c r="G32" s="323"/>
      <c r="H32" s="323"/>
      <c r="I32" s="323"/>
      <c r="J32" s="323"/>
      <c r="K32" s="323"/>
      <c r="L32" s="323"/>
      <c r="M32" s="323"/>
      <c r="N32" s="324"/>
      <c r="O32" s="56">
        <f>O24*0.18</f>
        <v>108</v>
      </c>
      <c r="P32" s="56">
        <f>P24*0.18</f>
        <v>108</v>
      </c>
      <c r="Q32" s="58"/>
      <c r="R32" s="56">
        <f>R24*0.18</f>
        <v>0</v>
      </c>
      <c r="S32" s="211" t="s">
        <v>276</v>
      </c>
      <c r="T32" s="59"/>
      <c r="U32" s="60"/>
    </row>
    <row r="33" spans="1:21" s="61" customFormat="1" ht="52.5" customHeight="1">
      <c r="A33" s="52"/>
      <c r="B33" s="53"/>
      <c r="C33" s="54"/>
      <c r="D33" s="52"/>
      <c r="E33" s="63" t="s">
        <v>4</v>
      </c>
      <c r="F33" s="319"/>
      <c r="G33" s="320"/>
      <c r="H33" s="320"/>
      <c r="I33" s="320"/>
      <c r="J33" s="320"/>
      <c r="K33" s="320"/>
      <c r="L33" s="320"/>
      <c r="M33" s="320"/>
      <c r="N33" s="321"/>
      <c r="O33" s="56"/>
      <c r="P33" s="56"/>
      <c r="Q33" s="58"/>
      <c r="R33" s="59"/>
      <c r="S33" s="60"/>
      <c r="T33" s="59"/>
      <c r="U33" s="60"/>
    </row>
    <row r="34" spans="1:21" s="1" customFormat="1">
      <c r="L34" s="26" t="s">
        <v>93</v>
      </c>
      <c r="N34" s="25"/>
      <c r="O34" s="26">
        <f>SUM(O30:O33)</f>
        <v>3852</v>
      </c>
      <c r="P34" s="26">
        <f>SUM(P30:P33)</f>
        <v>3852</v>
      </c>
      <c r="Q34" s="18"/>
      <c r="R34" s="135">
        <f>SUM(R30:R33)</f>
        <v>3744</v>
      </c>
      <c r="S34" s="18"/>
      <c r="T34" s="135">
        <f>SUM(T30:T33)</f>
        <v>0</v>
      </c>
      <c r="U34" s="18"/>
    </row>
    <row r="36" spans="1:21" s="1" customFormat="1" ht="15" thickBot="1">
      <c r="O36" s="26"/>
      <c r="P36" s="26"/>
      <c r="Q36" s="18"/>
      <c r="R36" s="27"/>
      <c r="S36" s="18"/>
      <c r="T36" s="27"/>
      <c r="U36" s="18"/>
    </row>
    <row r="37" spans="1:21" s="1" customFormat="1" ht="19" thickBot="1">
      <c r="K37" s="360" t="s">
        <v>79</v>
      </c>
      <c r="L37" s="361"/>
      <c r="M37" s="361"/>
      <c r="N37" s="362"/>
      <c r="O37" s="26">
        <f>SUM(O26,O34)</f>
        <v>25252</v>
      </c>
      <c r="P37" s="26">
        <f>SUM(P26,P34)</f>
        <v>25252</v>
      </c>
      <c r="Q37" s="26"/>
      <c r="R37" s="26">
        <f>SUM(R26,R34)</f>
        <v>24544</v>
      </c>
      <c r="S37" s="26"/>
      <c r="T37" s="26">
        <f>SUM(T26,T34)</f>
        <v>0</v>
      </c>
      <c r="U37" s="18"/>
    </row>
    <row r="38" spans="1:21" ht="23.5">
      <c r="A38" s="312" t="s">
        <v>99</v>
      </c>
      <c r="B38" s="312"/>
      <c r="C38" s="312"/>
      <c r="D38" s="312"/>
    </row>
    <row r="39" spans="1:21" s="88" customFormat="1" ht="34.5" customHeight="1">
      <c r="A39" s="94" t="s">
        <v>167</v>
      </c>
      <c r="B39" s="95"/>
      <c r="C39" s="95"/>
      <c r="D39" s="95"/>
      <c r="E39" s="96"/>
      <c r="F39" s="96"/>
      <c r="G39" s="96"/>
      <c r="H39" s="96"/>
      <c r="I39" s="96"/>
      <c r="J39" s="96"/>
      <c r="K39" s="96"/>
      <c r="L39" s="96"/>
      <c r="M39" s="96"/>
      <c r="N39" s="97"/>
      <c r="O39" s="98" t="s">
        <v>87</v>
      </c>
      <c r="P39" s="98" t="s">
        <v>37</v>
      </c>
      <c r="Q39" s="99" t="s">
        <v>88</v>
      </c>
      <c r="R39" s="98" t="s">
        <v>38</v>
      </c>
      <c r="S39" s="99" t="s">
        <v>88</v>
      </c>
      <c r="T39" s="98" t="s">
        <v>39</v>
      </c>
      <c r="U39" s="99" t="s">
        <v>88</v>
      </c>
    </row>
    <row r="40" spans="1:21">
      <c r="A40" s="46" t="s">
        <v>83</v>
      </c>
      <c r="B40" s="4"/>
      <c r="C40" s="19" t="s">
        <v>78</v>
      </c>
      <c r="D40" s="19" t="s">
        <v>77</v>
      </c>
      <c r="E40" s="48" t="s">
        <v>32</v>
      </c>
      <c r="F40" s="24" t="s">
        <v>33</v>
      </c>
      <c r="G40" s="4"/>
      <c r="H40" s="4"/>
      <c r="I40" s="4"/>
      <c r="J40" s="4"/>
      <c r="K40" s="4"/>
      <c r="L40" s="4"/>
      <c r="M40" s="4"/>
      <c r="N40" s="4"/>
      <c r="O40" s="15" t="s">
        <v>34</v>
      </c>
      <c r="P40" s="15" t="s">
        <v>34</v>
      </c>
      <c r="Q40" s="22"/>
      <c r="R40" s="15" t="s">
        <v>34</v>
      </c>
      <c r="S40" s="23"/>
      <c r="T40" s="15" t="s">
        <v>34</v>
      </c>
      <c r="U40" s="23"/>
    </row>
    <row r="41" spans="1:21" s="61" customFormat="1" ht="52.5" customHeight="1">
      <c r="A41" s="52">
        <v>1</v>
      </c>
      <c r="B41" s="53"/>
      <c r="C41" s="54" t="s">
        <v>55</v>
      </c>
      <c r="D41" s="52" t="s">
        <v>55</v>
      </c>
      <c r="E41" s="55" t="s">
        <v>8</v>
      </c>
      <c r="F41" s="313" t="s">
        <v>235</v>
      </c>
      <c r="G41" s="314"/>
      <c r="H41" s="314"/>
      <c r="I41" s="314"/>
      <c r="J41" s="314"/>
      <c r="K41" s="314"/>
      <c r="L41" s="314"/>
      <c r="M41" s="314"/>
      <c r="N41" s="315"/>
      <c r="O41" s="196">
        <v>400</v>
      </c>
      <c r="P41" s="196">
        <v>400</v>
      </c>
      <c r="Q41" s="58"/>
      <c r="R41" s="57">
        <v>0</v>
      </c>
      <c r="S41" s="211" t="s">
        <v>277</v>
      </c>
      <c r="T41" s="57"/>
      <c r="U41" s="60"/>
    </row>
    <row r="42" spans="1:21" s="61" customFormat="1" ht="52.5" customHeight="1">
      <c r="A42" s="52">
        <v>1</v>
      </c>
      <c r="B42" s="53"/>
      <c r="C42" s="54" t="s">
        <v>55</v>
      </c>
      <c r="D42" s="52" t="s">
        <v>55</v>
      </c>
      <c r="E42" s="55" t="s">
        <v>10</v>
      </c>
      <c r="F42" s="316" t="s">
        <v>253</v>
      </c>
      <c r="G42" s="317"/>
      <c r="H42" s="317"/>
      <c r="I42" s="317"/>
      <c r="J42" s="317"/>
      <c r="K42" s="317"/>
      <c r="L42" s="317"/>
      <c r="M42" s="317"/>
      <c r="N42" s="318"/>
      <c r="O42" s="196">
        <v>325</v>
      </c>
      <c r="P42" s="196">
        <v>325</v>
      </c>
      <c r="Q42" s="58"/>
      <c r="R42" s="57">
        <v>0</v>
      </c>
      <c r="S42" s="211" t="s">
        <v>277</v>
      </c>
      <c r="T42" s="57"/>
      <c r="U42" s="60"/>
    </row>
    <row r="43" spans="1:21" s="61" customFormat="1" ht="52.5" customHeight="1">
      <c r="A43" s="64">
        <v>8</v>
      </c>
      <c r="B43" s="65"/>
      <c r="C43" s="66" t="s">
        <v>55</v>
      </c>
      <c r="D43" s="64" t="s">
        <v>58</v>
      </c>
      <c r="E43" s="67" t="s">
        <v>8</v>
      </c>
      <c r="F43" s="316" t="s">
        <v>236</v>
      </c>
      <c r="G43" s="317"/>
      <c r="H43" s="317"/>
      <c r="I43" s="317"/>
      <c r="J43" s="317"/>
      <c r="K43" s="317"/>
      <c r="L43" s="317"/>
      <c r="M43" s="317"/>
      <c r="N43" s="318"/>
      <c r="O43" s="196">
        <f>12*45</f>
        <v>540</v>
      </c>
      <c r="P43" s="196">
        <f>12*45</f>
        <v>540</v>
      </c>
      <c r="Q43" s="69"/>
      <c r="R43" s="219">
        <v>495</v>
      </c>
      <c r="S43" s="220" t="s">
        <v>287</v>
      </c>
      <c r="T43" s="68"/>
      <c r="U43" s="70"/>
    </row>
    <row r="44" spans="1:21" s="29" customFormat="1">
      <c r="M44" s="29" t="s">
        <v>96</v>
      </c>
      <c r="N44" s="25"/>
      <c r="O44" s="25">
        <f>SUM(O41:O43)</f>
        <v>1265</v>
      </c>
      <c r="P44" s="25">
        <f>SUM(P41:P43)</f>
        <v>1265</v>
      </c>
      <c r="Q44" s="28"/>
      <c r="R44" s="25">
        <f>SUM(R41:R43)</f>
        <v>495</v>
      </c>
      <c r="S44" s="28"/>
      <c r="T44" s="25">
        <f>SUM(T41:T43)</f>
        <v>0</v>
      </c>
      <c r="U44" s="28"/>
    </row>
    <row r="45" spans="1:21" s="1" customFormat="1">
      <c r="N45" s="26"/>
      <c r="O45" s="26"/>
      <c r="P45" s="26"/>
      <c r="Q45" s="18"/>
      <c r="R45" s="26"/>
      <c r="S45" s="18"/>
      <c r="T45" s="26"/>
      <c r="U45" s="18"/>
    </row>
    <row r="46" spans="1:21" s="106" customFormat="1" ht="34.5" customHeight="1">
      <c r="A46" s="100" t="s">
        <v>94</v>
      </c>
      <c r="B46" s="101"/>
      <c r="C46" s="101"/>
      <c r="D46" s="101"/>
      <c r="E46" s="102"/>
      <c r="F46" s="102"/>
      <c r="G46" s="102"/>
      <c r="H46" s="102"/>
      <c r="I46" s="102"/>
      <c r="J46" s="102"/>
      <c r="K46" s="102"/>
      <c r="L46" s="102"/>
      <c r="M46" s="102"/>
      <c r="N46" s="103"/>
      <c r="O46" s="104" t="s">
        <v>87</v>
      </c>
      <c r="P46" s="104" t="s">
        <v>37</v>
      </c>
      <c r="Q46" s="105" t="s">
        <v>88</v>
      </c>
      <c r="R46" s="104" t="s">
        <v>38</v>
      </c>
      <c r="S46" s="105" t="s">
        <v>88</v>
      </c>
      <c r="T46" s="104" t="s">
        <v>39</v>
      </c>
      <c r="U46" s="105" t="s">
        <v>88</v>
      </c>
    </row>
    <row r="47" spans="1:21">
      <c r="A47" s="46" t="s">
        <v>83</v>
      </c>
      <c r="B47" s="4"/>
      <c r="C47" s="19" t="s">
        <v>78</v>
      </c>
      <c r="D47" s="19" t="s">
        <v>77</v>
      </c>
      <c r="E47" s="48" t="s">
        <v>32</v>
      </c>
      <c r="F47" s="24" t="s">
        <v>33</v>
      </c>
      <c r="G47" s="4"/>
      <c r="H47" s="4"/>
      <c r="I47" s="4"/>
      <c r="J47" s="4"/>
      <c r="K47" s="4"/>
      <c r="L47" s="4"/>
      <c r="M47" s="4"/>
      <c r="N47" s="4"/>
      <c r="O47" s="15" t="s">
        <v>34</v>
      </c>
      <c r="P47" s="15" t="s">
        <v>34</v>
      </c>
      <c r="Q47" s="22"/>
      <c r="R47" s="15" t="s">
        <v>34</v>
      </c>
      <c r="S47" s="23"/>
      <c r="T47" s="15" t="s">
        <v>34</v>
      </c>
      <c r="U47" s="23"/>
    </row>
    <row r="48" spans="1:21" s="61" customFormat="1" ht="52.5" customHeight="1">
      <c r="A48" s="52">
        <v>3</v>
      </c>
      <c r="B48" s="53"/>
      <c r="C48" s="54" t="s">
        <v>55</v>
      </c>
      <c r="D48" s="52" t="s">
        <v>58</v>
      </c>
      <c r="E48" s="55" t="s">
        <v>13</v>
      </c>
      <c r="F48" s="322" t="s">
        <v>251</v>
      </c>
      <c r="G48" s="323"/>
      <c r="H48" s="323"/>
      <c r="I48" s="323"/>
      <c r="J48" s="323"/>
      <c r="K48" s="323"/>
      <c r="L48" s="323"/>
      <c r="M48" s="323"/>
      <c r="N48" s="324"/>
      <c r="O48" s="57">
        <v>800</v>
      </c>
      <c r="P48" s="57">
        <v>800</v>
      </c>
      <c r="Q48" s="200"/>
      <c r="R48" s="218">
        <v>0</v>
      </c>
      <c r="S48" s="211" t="s">
        <v>285</v>
      </c>
      <c r="T48" s="57"/>
      <c r="U48" s="60"/>
    </row>
    <row r="49" spans="1:27" s="61" customFormat="1" ht="52.5" customHeight="1">
      <c r="A49" s="52">
        <v>1</v>
      </c>
      <c r="B49" s="53"/>
      <c r="C49" s="54" t="s">
        <v>55</v>
      </c>
      <c r="D49" s="52" t="s">
        <v>58</v>
      </c>
      <c r="E49" s="55" t="s">
        <v>13</v>
      </c>
      <c r="F49" s="322" t="s">
        <v>237</v>
      </c>
      <c r="G49" s="323"/>
      <c r="H49" s="323"/>
      <c r="I49" s="323"/>
      <c r="J49" s="323"/>
      <c r="K49" s="323"/>
      <c r="L49" s="323"/>
      <c r="M49" s="323"/>
      <c r="N49" s="324"/>
      <c r="O49" s="57">
        <v>500</v>
      </c>
      <c r="P49" s="57">
        <v>500</v>
      </c>
      <c r="Q49" s="200"/>
      <c r="R49" s="196">
        <v>500</v>
      </c>
      <c r="S49" s="60"/>
      <c r="T49" s="57"/>
      <c r="U49" s="60"/>
    </row>
    <row r="50" spans="1:27" s="61" customFormat="1" ht="52.5" customHeight="1">
      <c r="A50" s="225"/>
      <c r="B50" s="53"/>
      <c r="C50" s="209" t="s">
        <v>58</v>
      </c>
      <c r="D50" s="52" t="s">
        <v>58</v>
      </c>
      <c r="E50" s="55" t="s">
        <v>11</v>
      </c>
      <c r="F50" s="319"/>
      <c r="G50" s="320"/>
      <c r="H50" s="320"/>
      <c r="I50" s="320"/>
      <c r="J50" s="320"/>
      <c r="K50" s="320"/>
      <c r="L50" s="320"/>
      <c r="M50" s="320"/>
      <c r="N50" s="321"/>
      <c r="O50" s="57"/>
      <c r="P50" s="57"/>
      <c r="Q50" s="205"/>
      <c r="R50" s="204">
        <v>399.99</v>
      </c>
      <c r="S50" s="205" t="s">
        <v>280</v>
      </c>
      <c r="T50" s="57"/>
      <c r="U50" s="60"/>
    </row>
    <row r="51" spans="1:27" s="245" customFormat="1" ht="37" customHeight="1">
      <c r="A51" s="237"/>
      <c r="B51" s="238"/>
      <c r="C51" s="239" t="s">
        <v>58</v>
      </c>
      <c r="D51" s="237" t="s">
        <v>58</v>
      </c>
      <c r="E51" s="240" t="s">
        <v>11</v>
      </c>
      <c r="F51" s="301"/>
      <c r="G51" s="302"/>
      <c r="H51" s="302"/>
      <c r="I51" s="302"/>
      <c r="J51" s="302"/>
      <c r="K51" s="302"/>
      <c r="L51" s="302"/>
      <c r="M51" s="302"/>
      <c r="N51" s="303"/>
      <c r="O51" s="241"/>
      <c r="P51" s="241"/>
      <c r="Q51" s="242"/>
      <c r="R51" s="243">
        <v>379.93</v>
      </c>
      <c r="S51" s="242" t="s">
        <v>302</v>
      </c>
      <c r="T51" s="241"/>
      <c r="U51" s="244"/>
    </row>
    <row r="52" spans="1:27" s="233" customFormat="1" ht="88" customHeight="1">
      <c r="A52" s="225"/>
      <c r="B52" s="226"/>
      <c r="C52" s="227" t="s">
        <v>58</v>
      </c>
      <c r="D52" s="225" t="s">
        <v>58</v>
      </c>
      <c r="E52" s="228" t="s">
        <v>11</v>
      </c>
      <c r="F52" s="327"/>
      <c r="G52" s="328"/>
      <c r="H52" s="328"/>
      <c r="I52" s="328"/>
      <c r="J52" s="328"/>
      <c r="K52" s="328"/>
      <c r="L52" s="328"/>
      <c r="M52" s="328"/>
      <c r="N52" s="329"/>
      <c r="O52" s="229"/>
      <c r="P52" s="229"/>
      <c r="Q52" s="230"/>
      <c r="R52" s="231">
        <v>1513.37</v>
      </c>
      <c r="S52" s="230" t="s">
        <v>303</v>
      </c>
      <c r="T52" s="229"/>
      <c r="U52" s="232"/>
    </row>
    <row r="53" spans="1:27" s="245" customFormat="1" ht="246.5">
      <c r="A53" s="237"/>
      <c r="B53" s="238"/>
      <c r="C53" s="239" t="s">
        <v>58</v>
      </c>
      <c r="D53" s="237" t="s">
        <v>58</v>
      </c>
      <c r="E53" s="240" t="s">
        <v>11</v>
      </c>
      <c r="F53" s="301"/>
      <c r="G53" s="302"/>
      <c r="H53" s="302"/>
      <c r="I53" s="302"/>
      <c r="J53" s="302"/>
      <c r="K53" s="302"/>
      <c r="L53" s="302"/>
      <c r="M53" s="302"/>
      <c r="N53" s="303"/>
      <c r="O53" s="241"/>
      <c r="P53" s="241"/>
      <c r="Q53" s="242"/>
      <c r="R53" s="243">
        <v>4774.76</v>
      </c>
      <c r="S53" s="242" t="s">
        <v>300</v>
      </c>
      <c r="T53" s="241"/>
      <c r="U53" s="244"/>
    </row>
    <row r="54" spans="1:27" s="245" customFormat="1" ht="174">
      <c r="A54" s="237"/>
      <c r="B54" s="238"/>
      <c r="C54" s="239" t="s">
        <v>58</v>
      </c>
      <c r="D54" s="237" t="s">
        <v>58</v>
      </c>
      <c r="E54" s="240" t="s">
        <v>11</v>
      </c>
      <c r="F54" s="301"/>
      <c r="G54" s="302"/>
      <c r="H54" s="302"/>
      <c r="I54" s="302"/>
      <c r="J54" s="302"/>
      <c r="K54" s="302"/>
      <c r="L54" s="302"/>
      <c r="M54" s="302"/>
      <c r="N54" s="303"/>
      <c r="O54" s="241"/>
      <c r="P54" s="241"/>
      <c r="Q54" s="242"/>
      <c r="R54" s="243">
        <v>1462.79</v>
      </c>
      <c r="S54" s="242" t="s">
        <v>301</v>
      </c>
      <c r="T54" s="241"/>
      <c r="U54" s="244"/>
    </row>
    <row r="55" spans="1:27" s="245" customFormat="1" ht="87">
      <c r="A55" s="237">
        <v>7</v>
      </c>
      <c r="B55" s="238"/>
      <c r="C55" s="239" t="s">
        <v>58</v>
      </c>
      <c r="D55" s="237" t="s">
        <v>58</v>
      </c>
      <c r="E55" s="240" t="s">
        <v>11</v>
      </c>
      <c r="F55" s="301"/>
      <c r="G55" s="325"/>
      <c r="H55" s="325"/>
      <c r="I55" s="325"/>
      <c r="J55" s="325"/>
      <c r="K55" s="325"/>
      <c r="L55" s="325"/>
      <c r="M55" s="325"/>
      <c r="N55" s="326"/>
      <c r="O55" s="241"/>
      <c r="P55" s="241"/>
      <c r="Q55" s="246"/>
      <c r="R55" s="247">
        <v>179.88</v>
      </c>
      <c r="S55" s="248" t="s">
        <v>292</v>
      </c>
      <c r="T55" s="243"/>
      <c r="U55" s="248"/>
      <c r="V55" s="249"/>
      <c r="W55" s="249"/>
      <c r="X55" s="249"/>
      <c r="Y55" s="249"/>
      <c r="Z55" s="249"/>
      <c r="AA55" s="249"/>
    </row>
    <row r="56" spans="1:27" s="1" customFormat="1">
      <c r="L56" s="136" t="s">
        <v>97</v>
      </c>
      <c r="M56" s="38"/>
      <c r="N56" s="38"/>
      <c r="O56" s="26">
        <f>SUM(O48:O55)</f>
        <v>1300</v>
      </c>
      <c r="P56" s="26">
        <f>SUM(P48:P55)</f>
        <v>1300</v>
      </c>
      <c r="Q56" s="26"/>
      <c r="R56" s="213">
        <f>SUM(R48:R55)</f>
        <v>9210.7199999999993</v>
      </c>
      <c r="S56" s="26"/>
      <c r="T56" s="26">
        <f>SUM(T48:T55)</f>
        <v>0</v>
      </c>
      <c r="U56" s="26"/>
    </row>
    <row r="58" spans="1:27" s="88" customFormat="1" ht="37.5" customHeight="1">
      <c r="A58" s="107" t="s">
        <v>36</v>
      </c>
      <c r="B58" s="108"/>
      <c r="C58" s="108"/>
      <c r="D58" s="108"/>
      <c r="E58" s="108"/>
      <c r="F58" s="108"/>
      <c r="G58" s="108"/>
      <c r="H58" s="108"/>
      <c r="I58" s="108"/>
      <c r="J58" s="108"/>
      <c r="K58" s="108"/>
      <c r="L58" s="108"/>
      <c r="M58" s="108"/>
      <c r="N58" s="109"/>
      <c r="O58" s="110" t="s">
        <v>87</v>
      </c>
      <c r="P58" s="110" t="s">
        <v>37</v>
      </c>
      <c r="Q58" s="111" t="s">
        <v>88</v>
      </c>
      <c r="R58" s="110" t="s">
        <v>38</v>
      </c>
      <c r="S58" s="111" t="s">
        <v>88</v>
      </c>
      <c r="T58" s="110" t="s">
        <v>39</v>
      </c>
      <c r="U58" s="111" t="s">
        <v>88</v>
      </c>
    </row>
    <row r="59" spans="1:27">
      <c r="A59" s="46" t="s">
        <v>83</v>
      </c>
      <c r="B59" s="4"/>
      <c r="C59" s="19" t="s">
        <v>78</v>
      </c>
      <c r="D59" s="19" t="s">
        <v>77</v>
      </c>
      <c r="E59" s="48" t="s">
        <v>32</v>
      </c>
      <c r="F59" s="4" t="s">
        <v>33</v>
      </c>
      <c r="G59" s="4"/>
      <c r="H59" s="4"/>
      <c r="I59" s="4"/>
      <c r="J59" s="4"/>
      <c r="K59" s="4"/>
      <c r="L59" s="4"/>
      <c r="M59" s="4"/>
      <c r="N59" s="4"/>
      <c r="O59" s="15" t="s">
        <v>34</v>
      </c>
      <c r="P59" s="24" t="s">
        <v>34</v>
      </c>
      <c r="Q59" s="22"/>
      <c r="R59" s="24" t="s">
        <v>34</v>
      </c>
      <c r="S59" s="23"/>
      <c r="T59" s="24" t="s">
        <v>34</v>
      </c>
      <c r="U59" s="23"/>
    </row>
    <row r="60" spans="1:27" s="61" customFormat="1" ht="52.5" customHeight="1">
      <c r="A60" s="52"/>
      <c r="B60" s="53"/>
      <c r="C60" s="54"/>
      <c r="D60" s="54"/>
      <c r="E60" s="55"/>
      <c r="F60" s="319"/>
      <c r="G60" s="320"/>
      <c r="H60" s="320"/>
      <c r="I60" s="320"/>
      <c r="J60" s="320"/>
      <c r="K60" s="320"/>
      <c r="L60" s="320"/>
      <c r="M60" s="320"/>
      <c r="N60" s="321"/>
      <c r="O60" s="57"/>
      <c r="P60" s="56"/>
      <c r="Q60" s="58"/>
      <c r="R60" s="56"/>
      <c r="S60" s="60"/>
      <c r="T60" s="56"/>
      <c r="U60" s="60"/>
    </row>
    <row r="61" spans="1:27" s="1" customFormat="1">
      <c r="L61" s="136" t="s">
        <v>80</v>
      </c>
      <c r="M61" s="38"/>
      <c r="N61" s="38"/>
      <c r="O61" s="26">
        <f>SUM(O60:O60)</f>
        <v>0</v>
      </c>
      <c r="P61" s="26">
        <f>SUM(P60:P60)</f>
        <v>0</v>
      </c>
      <c r="Q61" s="28"/>
      <c r="R61" s="26">
        <f>SUM(R60:R60)</f>
        <v>0</v>
      </c>
      <c r="S61" s="28"/>
      <c r="T61" s="26">
        <f>SUM(T60:T60)</f>
        <v>0</v>
      </c>
      <c r="U61" s="22"/>
    </row>
    <row r="63" spans="1:27" s="88" customFormat="1" ht="37.5" customHeight="1">
      <c r="A63" s="112" t="s">
        <v>95</v>
      </c>
      <c r="B63" s="113"/>
      <c r="C63" s="113"/>
      <c r="D63" s="137" t="s">
        <v>185</v>
      </c>
      <c r="E63" s="113"/>
      <c r="F63" s="113"/>
      <c r="G63" s="113"/>
      <c r="H63" s="113"/>
      <c r="I63" s="113"/>
      <c r="J63" s="113"/>
      <c r="K63" s="113"/>
      <c r="L63" s="113"/>
      <c r="M63" s="113"/>
      <c r="N63" s="114"/>
      <c r="O63" s="115" t="s">
        <v>87</v>
      </c>
      <c r="P63" s="115" t="s">
        <v>37</v>
      </c>
      <c r="Q63" s="116" t="s">
        <v>88</v>
      </c>
      <c r="R63" s="115" t="s">
        <v>38</v>
      </c>
      <c r="S63" s="116" t="s">
        <v>88</v>
      </c>
      <c r="T63" s="115" t="s">
        <v>39</v>
      </c>
      <c r="U63" s="116" t="s">
        <v>88</v>
      </c>
    </row>
    <row r="64" spans="1:27">
      <c r="A64" s="46" t="s">
        <v>83</v>
      </c>
      <c r="B64" s="4"/>
      <c r="C64" s="19" t="s">
        <v>78</v>
      </c>
      <c r="D64" s="19" t="s">
        <v>77</v>
      </c>
      <c r="E64" s="48" t="s">
        <v>32</v>
      </c>
      <c r="F64" s="4" t="s">
        <v>33</v>
      </c>
      <c r="G64" s="4"/>
      <c r="H64" s="4"/>
      <c r="I64" s="4"/>
      <c r="J64" s="4"/>
      <c r="K64" s="4"/>
      <c r="L64" s="4"/>
      <c r="M64" s="4"/>
      <c r="N64" s="4"/>
      <c r="O64" s="15" t="s">
        <v>34</v>
      </c>
      <c r="P64" s="15" t="s">
        <v>34</v>
      </c>
      <c r="Q64" s="22"/>
      <c r="R64" s="15" t="s">
        <v>34</v>
      </c>
      <c r="S64" s="23"/>
      <c r="T64" s="15" t="s">
        <v>34</v>
      </c>
      <c r="U64" s="23"/>
    </row>
    <row r="65" spans="1:25" s="61" customFormat="1" ht="114.75" customHeight="1">
      <c r="A65" s="52">
        <v>2</v>
      </c>
      <c r="B65" s="53"/>
      <c r="C65" s="54" t="s">
        <v>56</v>
      </c>
      <c r="D65" s="54" t="s">
        <v>56</v>
      </c>
      <c r="E65" s="63" t="s">
        <v>15</v>
      </c>
      <c r="F65" s="308" t="s">
        <v>269</v>
      </c>
      <c r="G65" s="296"/>
      <c r="H65" s="296"/>
      <c r="I65" s="296"/>
      <c r="J65" s="296"/>
      <c r="K65" s="296"/>
      <c r="L65" s="296"/>
      <c r="M65" s="296"/>
      <c r="N65" s="297"/>
      <c r="O65" s="197">
        <f>1000+500+2000+150+255.2</f>
        <v>3905.2</v>
      </c>
      <c r="P65" s="57">
        <v>3137.48</v>
      </c>
      <c r="Q65" s="205" t="s">
        <v>271</v>
      </c>
      <c r="R65" s="57">
        <v>3137.48</v>
      </c>
      <c r="S65" s="60"/>
      <c r="T65" s="57"/>
      <c r="U65" s="60"/>
    </row>
    <row r="66" spans="1:25" s="61" customFormat="1" ht="46.5" customHeight="1">
      <c r="A66" s="52">
        <v>8</v>
      </c>
      <c r="B66" s="53"/>
      <c r="C66" s="54" t="s">
        <v>57</v>
      </c>
      <c r="D66" s="54" t="s">
        <v>57</v>
      </c>
      <c r="E66" s="63" t="s">
        <v>15</v>
      </c>
      <c r="F66" s="309" t="s">
        <v>248</v>
      </c>
      <c r="G66" s="310"/>
      <c r="H66" s="310"/>
      <c r="I66" s="310"/>
      <c r="J66" s="310"/>
      <c r="K66" s="310"/>
      <c r="L66" s="310"/>
      <c r="M66" s="310"/>
      <c r="N66" s="311"/>
      <c r="O66" s="197">
        <f>404.84+345+92</f>
        <v>841.83999999999992</v>
      </c>
      <c r="P66" s="197">
        <f>404.84+345+92</f>
        <v>841.83999999999992</v>
      </c>
      <c r="Q66" s="58"/>
      <c r="R66" s="204">
        <v>0</v>
      </c>
      <c r="S66" s="211" t="s">
        <v>288</v>
      </c>
      <c r="T66" s="57"/>
      <c r="U66" s="60"/>
    </row>
    <row r="67" spans="1:25" s="61" customFormat="1" ht="52.5" customHeight="1">
      <c r="A67" s="52">
        <v>5</v>
      </c>
      <c r="B67" s="53"/>
      <c r="C67" s="54" t="s">
        <v>57</v>
      </c>
      <c r="D67" s="54" t="s">
        <v>57</v>
      </c>
      <c r="E67" s="63" t="s">
        <v>15</v>
      </c>
      <c r="F67" s="322" t="s">
        <v>249</v>
      </c>
      <c r="G67" s="323"/>
      <c r="H67" s="323"/>
      <c r="I67" s="323"/>
      <c r="J67" s="323"/>
      <c r="K67" s="323"/>
      <c r="L67" s="323"/>
      <c r="M67" s="323"/>
      <c r="N67" s="324"/>
      <c r="O67" s="197">
        <v>832.76</v>
      </c>
      <c r="P67" s="197">
        <v>832.76</v>
      </c>
      <c r="Q67" s="58"/>
      <c r="R67" s="204">
        <v>0</v>
      </c>
      <c r="S67" s="211" t="s">
        <v>285</v>
      </c>
      <c r="T67" s="57"/>
      <c r="U67" s="60"/>
    </row>
    <row r="68" spans="1:25" s="61" customFormat="1" ht="52.5" customHeight="1">
      <c r="A68" s="52">
        <v>5</v>
      </c>
      <c r="B68" s="53"/>
      <c r="C68" s="54" t="s">
        <v>57</v>
      </c>
      <c r="D68" s="54" t="s">
        <v>57</v>
      </c>
      <c r="E68" s="63" t="s">
        <v>15</v>
      </c>
      <c r="F68" s="322" t="s">
        <v>263</v>
      </c>
      <c r="G68" s="323"/>
      <c r="H68" s="323"/>
      <c r="I68" s="323"/>
      <c r="J68" s="323"/>
      <c r="K68" s="323"/>
      <c r="L68" s="323"/>
      <c r="M68" s="323"/>
      <c r="N68" s="324"/>
      <c r="O68" s="197">
        <v>841.84</v>
      </c>
      <c r="P68" s="197">
        <v>841.84</v>
      </c>
      <c r="Q68" s="58"/>
      <c r="R68" s="204">
        <v>0</v>
      </c>
      <c r="S68" s="211" t="s">
        <v>285</v>
      </c>
      <c r="T68" s="57"/>
      <c r="U68" s="60"/>
    </row>
    <row r="69" spans="1:25" s="61" customFormat="1" ht="150" customHeight="1">
      <c r="A69" s="52">
        <v>4</v>
      </c>
      <c r="B69" s="53"/>
      <c r="C69" s="54" t="s">
        <v>55</v>
      </c>
      <c r="D69" s="54" t="s">
        <v>58</v>
      </c>
      <c r="E69" s="63" t="s">
        <v>15</v>
      </c>
      <c r="F69" s="322" t="s">
        <v>264</v>
      </c>
      <c r="G69" s="323"/>
      <c r="H69" s="323"/>
      <c r="I69" s="323"/>
      <c r="J69" s="323"/>
      <c r="K69" s="323"/>
      <c r="L69" s="323"/>
      <c r="M69" s="323"/>
      <c r="N69" s="324"/>
      <c r="O69" s="57">
        <v>4752.26</v>
      </c>
      <c r="P69" s="204">
        <f>4752.26-485.27</f>
        <v>4266.99</v>
      </c>
      <c r="Q69" s="200" t="s">
        <v>274</v>
      </c>
      <c r="R69" s="204">
        <v>2109.11</v>
      </c>
      <c r="S69" s="214" t="s">
        <v>284</v>
      </c>
      <c r="T69" s="57"/>
      <c r="U69" s="60"/>
    </row>
    <row r="70" spans="1:25" s="61" customFormat="1" ht="118.5" customHeight="1">
      <c r="A70" s="52">
        <v>6</v>
      </c>
      <c r="B70" s="53"/>
      <c r="C70" s="54" t="s">
        <v>56</v>
      </c>
      <c r="D70" s="54" t="s">
        <v>56</v>
      </c>
      <c r="E70" s="63" t="s">
        <v>15</v>
      </c>
      <c r="F70" s="363" t="s">
        <v>270</v>
      </c>
      <c r="G70" s="364"/>
      <c r="H70" s="364"/>
      <c r="I70" s="364"/>
      <c r="J70" s="364"/>
      <c r="K70" s="364"/>
      <c r="L70" s="364"/>
      <c r="M70" s="364"/>
      <c r="N70" s="365"/>
      <c r="O70" s="199">
        <v>3905</v>
      </c>
      <c r="P70" s="199"/>
      <c r="Q70" s="200"/>
      <c r="R70" s="57"/>
      <c r="S70" s="60"/>
      <c r="T70" s="57"/>
      <c r="U70" s="60"/>
    </row>
    <row r="71" spans="1:25" s="61" customFormat="1" ht="246.5">
      <c r="A71" s="52">
        <v>6</v>
      </c>
      <c r="B71" s="53"/>
      <c r="C71" s="54" t="s">
        <v>56</v>
      </c>
      <c r="D71" s="54" t="s">
        <v>56</v>
      </c>
      <c r="E71" s="63" t="s">
        <v>15</v>
      </c>
      <c r="F71" s="305"/>
      <c r="G71" s="306"/>
      <c r="H71" s="306"/>
      <c r="I71" s="306"/>
      <c r="J71" s="306"/>
      <c r="K71" s="306"/>
      <c r="L71" s="306"/>
      <c r="M71" s="306"/>
      <c r="N71" s="307"/>
      <c r="O71" s="199"/>
      <c r="P71" s="204">
        <f>255.2+1500+500+2000+150</f>
        <v>4405.2</v>
      </c>
      <c r="Q71" s="208" t="s">
        <v>275</v>
      </c>
      <c r="R71" s="204">
        <v>879.39</v>
      </c>
      <c r="S71" s="217" t="s">
        <v>289</v>
      </c>
      <c r="T71" s="206"/>
      <c r="U71" s="206"/>
      <c r="V71" s="206"/>
      <c r="W71" s="206"/>
      <c r="X71" s="206"/>
      <c r="Y71" s="207"/>
    </row>
    <row r="72" spans="1:25" s="61" customFormat="1" ht="38.25" customHeight="1">
      <c r="A72" s="52">
        <v>5</v>
      </c>
      <c r="B72" s="53"/>
      <c r="C72" s="54" t="s">
        <v>57</v>
      </c>
      <c r="D72" s="54" t="s">
        <v>57</v>
      </c>
      <c r="E72" s="63" t="s">
        <v>15</v>
      </c>
      <c r="F72" s="322" t="s">
        <v>238</v>
      </c>
      <c r="G72" s="323"/>
      <c r="H72" s="323"/>
      <c r="I72" s="323"/>
      <c r="J72" s="323"/>
      <c r="K72" s="323"/>
      <c r="L72" s="323"/>
      <c r="M72" s="323"/>
      <c r="N72" s="324"/>
      <c r="O72" s="57">
        <v>433.73</v>
      </c>
      <c r="P72" s="57">
        <v>433.73</v>
      </c>
      <c r="Q72" s="58"/>
      <c r="R72" s="204">
        <f>296.2+110.34</f>
        <v>406.53999999999996</v>
      </c>
      <c r="S72" s="211" t="s">
        <v>278</v>
      </c>
      <c r="T72" s="57"/>
      <c r="U72" s="60"/>
    </row>
    <row r="73" spans="1:25" s="61" customFormat="1" ht="52.5" customHeight="1">
      <c r="A73" s="52">
        <v>5</v>
      </c>
      <c r="B73" s="53"/>
      <c r="C73" s="54" t="s">
        <v>57</v>
      </c>
      <c r="D73" s="54" t="s">
        <v>57</v>
      </c>
      <c r="E73" s="63" t="s">
        <v>15</v>
      </c>
      <c r="F73" s="322" t="s">
        <v>239</v>
      </c>
      <c r="G73" s="323"/>
      <c r="H73" s="323"/>
      <c r="I73" s="323"/>
      <c r="J73" s="323"/>
      <c r="K73" s="323"/>
      <c r="L73" s="323"/>
      <c r="M73" s="323"/>
      <c r="N73" s="324"/>
      <c r="O73" s="57">
        <v>433.73</v>
      </c>
      <c r="P73" s="57">
        <v>433.73</v>
      </c>
      <c r="Q73" s="58"/>
      <c r="R73" s="204">
        <v>0</v>
      </c>
      <c r="S73" s="211" t="s">
        <v>286</v>
      </c>
      <c r="T73" s="57"/>
      <c r="U73" s="60"/>
    </row>
    <row r="74" spans="1:25" s="61" customFormat="1" ht="52.5" customHeight="1">
      <c r="A74" s="52">
        <v>5</v>
      </c>
      <c r="B74" s="53"/>
      <c r="C74" s="54" t="s">
        <v>57</v>
      </c>
      <c r="D74" s="54" t="s">
        <v>57</v>
      </c>
      <c r="E74" s="63" t="s">
        <v>15</v>
      </c>
      <c r="F74" s="322" t="s">
        <v>246</v>
      </c>
      <c r="G74" s="323"/>
      <c r="H74" s="323"/>
      <c r="I74" s="323"/>
      <c r="J74" s="323"/>
      <c r="K74" s="323"/>
      <c r="L74" s="323"/>
      <c r="M74" s="323"/>
      <c r="N74" s="324"/>
      <c r="O74" s="57">
        <v>804</v>
      </c>
      <c r="P74" s="57">
        <v>804</v>
      </c>
      <c r="Q74" s="58"/>
      <c r="R74" s="204">
        <v>0</v>
      </c>
      <c r="S74" s="211" t="s">
        <v>283</v>
      </c>
      <c r="T74" s="57"/>
      <c r="U74" s="60"/>
    </row>
    <row r="75" spans="1:25" s="61" customFormat="1" ht="60.75" customHeight="1">
      <c r="A75" s="52"/>
      <c r="B75" s="53"/>
      <c r="C75" s="54" t="s">
        <v>56</v>
      </c>
      <c r="D75" s="54" t="s">
        <v>56</v>
      </c>
      <c r="E75" s="63" t="s">
        <v>15</v>
      </c>
      <c r="F75" s="319"/>
      <c r="G75" s="320"/>
      <c r="H75" s="320"/>
      <c r="I75" s="320"/>
      <c r="J75" s="320"/>
      <c r="K75" s="320"/>
      <c r="L75" s="320"/>
      <c r="M75" s="320"/>
      <c r="N75" s="321"/>
      <c r="O75" s="57"/>
      <c r="P75" s="204">
        <v>627.79</v>
      </c>
      <c r="Q75" s="205" t="s">
        <v>273</v>
      </c>
      <c r="R75" s="57">
        <v>627.79</v>
      </c>
      <c r="S75" s="60"/>
      <c r="T75" s="57"/>
      <c r="U75" s="60"/>
    </row>
    <row r="76" spans="1:25" s="61" customFormat="1" ht="52.5" customHeight="1">
      <c r="A76" s="52"/>
      <c r="B76" s="53"/>
      <c r="C76" s="54"/>
      <c r="D76" s="54"/>
      <c r="E76" s="63"/>
      <c r="F76" s="319"/>
      <c r="G76" s="320"/>
      <c r="H76" s="320"/>
      <c r="I76" s="320"/>
      <c r="J76" s="320"/>
      <c r="K76" s="320"/>
      <c r="L76" s="320"/>
      <c r="M76" s="320"/>
      <c r="N76" s="321"/>
      <c r="O76" s="57"/>
      <c r="P76" s="57"/>
      <c r="Q76" s="58"/>
      <c r="R76" s="57"/>
      <c r="S76" s="60"/>
      <c r="T76" s="57"/>
      <c r="U76" s="60"/>
    </row>
    <row r="77" spans="1:25" s="1" customFormat="1">
      <c r="M77" s="38" t="s">
        <v>81</v>
      </c>
      <c r="N77" s="38"/>
      <c r="O77" s="26">
        <f>SUM(O65:O76)</f>
        <v>16750.36</v>
      </c>
      <c r="P77" s="26">
        <f>SUM(P65:P76)</f>
        <v>16625.36</v>
      </c>
      <c r="Q77" s="215"/>
      <c r="R77" s="26">
        <f>SUM(R65:R76)</f>
        <v>7160.31</v>
      </c>
      <c r="S77" s="18"/>
      <c r="T77" s="26">
        <f>SUM(T65:T76)</f>
        <v>0</v>
      </c>
      <c r="U77" s="18"/>
    </row>
    <row r="78" spans="1:25">
      <c r="Q78"/>
      <c r="R78"/>
    </row>
    <row r="79" spans="1:25" s="88" customFormat="1" ht="37.5" customHeight="1">
      <c r="A79" s="117" t="s">
        <v>168</v>
      </c>
      <c r="B79" s="118"/>
      <c r="C79" s="118"/>
      <c r="D79" s="118"/>
      <c r="E79" s="118"/>
      <c r="F79" s="118"/>
      <c r="G79" s="118"/>
      <c r="H79" s="118"/>
      <c r="I79" s="118"/>
      <c r="J79" s="118"/>
      <c r="K79" s="118"/>
      <c r="L79" s="118"/>
      <c r="M79" s="118"/>
      <c r="N79" s="119"/>
      <c r="O79" s="120" t="s">
        <v>87</v>
      </c>
      <c r="P79" s="120" t="s">
        <v>37</v>
      </c>
      <c r="Q79" s="121" t="s">
        <v>88</v>
      </c>
      <c r="R79" s="120" t="s">
        <v>38</v>
      </c>
      <c r="S79" s="121" t="s">
        <v>88</v>
      </c>
      <c r="T79" s="120" t="s">
        <v>39</v>
      </c>
      <c r="U79" s="121" t="s">
        <v>88</v>
      </c>
    </row>
    <row r="80" spans="1:25">
      <c r="A80" s="46" t="s">
        <v>83</v>
      </c>
      <c r="B80" s="4"/>
      <c r="C80" s="19" t="s">
        <v>78</v>
      </c>
      <c r="D80" s="19" t="s">
        <v>77</v>
      </c>
      <c r="E80" s="48" t="s">
        <v>32</v>
      </c>
      <c r="F80" s="4" t="s">
        <v>33</v>
      </c>
      <c r="G80" s="4"/>
      <c r="H80" s="4"/>
      <c r="I80" s="4"/>
      <c r="J80" s="4"/>
      <c r="K80" s="4"/>
      <c r="L80" s="4"/>
      <c r="M80" s="4"/>
      <c r="N80" s="4"/>
      <c r="O80" s="15" t="s">
        <v>34</v>
      </c>
      <c r="P80" s="15" t="s">
        <v>34</v>
      </c>
      <c r="Q80" s="22"/>
      <c r="R80" s="15" t="s">
        <v>34</v>
      </c>
      <c r="S80" s="23"/>
      <c r="T80" s="15" t="s">
        <v>34</v>
      </c>
      <c r="U80" s="23"/>
    </row>
    <row r="81" spans="1:27" s="61" customFormat="1" ht="87">
      <c r="A81" s="52">
        <v>2</v>
      </c>
      <c r="B81" s="53"/>
      <c r="C81" s="54" t="s">
        <v>55</v>
      </c>
      <c r="D81" s="54" t="s">
        <v>56</v>
      </c>
      <c r="E81" s="55" t="s">
        <v>20</v>
      </c>
      <c r="F81" s="295" t="s">
        <v>240</v>
      </c>
      <c r="G81" s="296"/>
      <c r="H81" s="296"/>
      <c r="I81" s="296"/>
      <c r="J81" s="296"/>
      <c r="K81" s="296"/>
      <c r="L81" s="296"/>
      <c r="M81" s="296"/>
      <c r="N81" s="297"/>
      <c r="O81" s="197">
        <v>1250</v>
      </c>
      <c r="P81" s="197">
        <v>1250</v>
      </c>
      <c r="Q81" s="58"/>
      <c r="R81" s="234">
        <f>1025+545</f>
        <v>1570</v>
      </c>
      <c r="S81" s="235" t="s">
        <v>290</v>
      </c>
      <c r="T81" s="222"/>
      <c r="U81" s="222"/>
      <c r="V81" s="222"/>
      <c r="W81" s="222"/>
      <c r="X81" s="222"/>
      <c r="Y81" s="222"/>
      <c r="Z81" s="222"/>
      <c r="AA81" s="223"/>
    </row>
    <row r="82" spans="1:27" s="61" customFormat="1" ht="52.5" customHeight="1">
      <c r="A82" s="52">
        <v>6</v>
      </c>
      <c r="B82" s="53"/>
      <c r="C82" s="54" t="s">
        <v>56</v>
      </c>
      <c r="D82" s="54" t="s">
        <v>56</v>
      </c>
      <c r="E82" s="55" t="s">
        <v>20</v>
      </c>
      <c r="F82" s="298" t="s">
        <v>245</v>
      </c>
      <c r="G82" s="299"/>
      <c r="H82" s="299"/>
      <c r="I82" s="299"/>
      <c r="J82" s="299"/>
      <c r="K82" s="299"/>
      <c r="L82" s="299"/>
      <c r="M82" s="299"/>
      <c r="N82" s="300"/>
      <c r="O82" s="196">
        <v>1200</v>
      </c>
      <c r="P82" s="196">
        <v>1200</v>
      </c>
      <c r="Q82" s="58"/>
      <c r="R82" s="221">
        <v>750</v>
      </c>
      <c r="S82" s="224" t="s">
        <v>298</v>
      </c>
      <c r="T82" s="57"/>
      <c r="U82" s="60"/>
    </row>
    <row r="83" spans="1:27" s="61" customFormat="1" ht="52.5" customHeight="1">
      <c r="A83" s="52">
        <v>5</v>
      </c>
      <c r="B83" s="53"/>
      <c r="C83" s="54" t="s">
        <v>57</v>
      </c>
      <c r="D83" s="54" t="s">
        <v>57</v>
      </c>
      <c r="E83" s="55" t="s">
        <v>20</v>
      </c>
      <c r="F83" s="295" t="s">
        <v>241</v>
      </c>
      <c r="G83" s="296"/>
      <c r="H83" s="296"/>
      <c r="I83" s="296"/>
      <c r="J83" s="296"/>
      <c r="K83" s="296"/>
      <c r="L83" s="296"/>
      <c r="M83" s="296"/>
      <c r="N83" s="297"/>
      <c r="O83" s="197">
        <v>100</v>
      </c>
      <c r="P83" s="197">
        <v>100</v>
      </c>
      <c r="Q83" s="58"/>
      <c r="R83" s="204">
        <v>0</v>
      </c>
      <c r="S83" s="211" t="s">
        <v>282</v>
      </c>
      <c r="T83" s="57"/>
      <c r="U83" s="60"/>
    </row>
    <row r="84" spans="1:27" s="61" customFormat="1" ht="58">
      <c r="A84" s="52">
        <v>5</v>
      </c>
      <c r="B84" s="53"/>
      <c r="C84" s="54" t="s">
        <v>57</v>
      </c>
      <c r="D84" s="54" t="s">
        <v>57</v>
      </c>
      <c r="E84" s="55" t="s">
        <v>20</v>
      </c>
      <c r="F84" s="341" t="s">
        <v>242</v>
      </c>
      <c r="G84" s="342"/>
      <c r="H84" s="342"/>
      <c r="I84" s="342"/>
      <c r="J84" s="342"/>
      <c r="K84" s="342"/>
      <c r="L84" s="342"/>
      <c r="M84" s="342"/>
      <c r="N84" s="343"/>
      <c r="O84" s="197">
        <v>200</v>
      </c>
      <c r="P84" s="197">
        <v>200</v>
      </c>
      <c r="Q84" s="58"/>
      <c r="R84" s="236">
        <v>200</v>
      </c>
      <c r="S84" s="217" t="s">
        <v>299</v>
      </c>
      <c r="T84" s="57"/>
      <c r="U84" s="60"/>
    </row>
    <row r="85" spans="1:27" s="61" customFormat="1" ht="52.5" customHeight="1">
      <c r="A85" s="52">
        <v>5</v>
      </c>
      <c r="B85" s="53"/>
      <c r="C85" s="54" t="s">
        <v>57</v>
      </c>
      <c r="D85" s="54" t="s">
        <v>57</v>
      </c>
      <c r="E85" s="55" t="s">
        <v>20</v>
      </c>
      <c r="F85" s="333" t="s">
        <v>243</v>
      </c>
      <c r="G85" s="334"/>
      <c r="H85" s="334"/>
      <c r="I85" s="334"/>
      <c r="J85" s="334"/>
      <c r="K85" s="334"/>
      <c r="L85" s="334"/>
      <c r="M85" s="334"/>
      <c r="N85" s="335"/>
      <c r="O85" s="57">
        <v>200</v>
      </c>
      <c r="P85" s="57">
        <v>200</v>
      </c>
      <c r="Q85" s="58"/>
      <c r="R85" s="57">
        <v>200</v>
      </c>
      <c r="S85" s="60"/>
      <c r="T85" s="57"/>
      <c r="U85" s="60"/>
    </row>
    <row r="86" spans="1:27" s="61" customFormat="1" ht="52.5" customHeight="1">
      <c r="A86" s="52">
        <v>5</v>
      </c>
      <c r="B86" s="53"/>
      <c r="C86" s="54" t="s">
        <v>56</v>
      </c>
      <c r="D86" s="54" t="s">
        <v>56</v>
      </c>
      <c r="E86" s="55" t="s">
        <v>20</v>
      </c>
      <c r="F86" s="298" t="s">
        <v>244</v>
      </c>
      <c r="G86" s="299"/>
      <c r="H86" s="299"/>
      <c r="I86" s="299"/>
      <c r="J86" s="299"/>
      <c r="K86" s="299"/>
      <c r="L86" s="299"/>
      <c r="M86" s="299"/>
      <c r="N86" s="300"/>
      <c r="O86" s="196">
        <v>100</v>
      </c>
      <c r="P86" s="196">
        <v>100</v>
      </c>
      <c r="Q86" s="58"/>
      <c r="R86" s="204">
        <v>0</v>
      </c>
      <c r="S86" s="211" t="s">
        <v>279</v>
      </c>
      <c r="T86" s="57"/>
      <c r="U86" s="60"/>
    </row>
    <row r="87" spans="1:27" s="61" customFormat="1" ht="52.5" customHeight="1">
      <c r="A87" s="203">
        <v>6</v>
      </c>
      <c r="B87" s="203"/>
      <c r="C87" s="203" t="s">
        <v>56</v>
      </c>
      <c r="D87" s="203" t="s">
        <v>56</v>
      </c>
      <c r="E87" s="203" t="s">
        <v>20</v>
      </c>
      <c r="F87" s="304" t="s">
        <v>272</v>
      </c>
      <c r="G87" s="304"/>
      <c r="H87" s="304"/>
      <c r="I87" s="304"/>
      <c r="J87" s="304"/>
      <c r="K87" s="304"/>
      <c r="L87" s="304"/>
      <c r="M87" s="304"/>
      <c r="N87" s="304"/>
      <c r="O87" s="203"/>
      <c r="P87" s="210">
        <v>125</v>
      </c>
      <c r="Q87" s="204" t="s">
        <v>281</v>
      </c>
      <c r="R87" s="212">
        <v>125</v>
      </c>
      <c r="S87" s="60"/>
      <c r="T87" s="57"/>
      <c r="U87" s="60"/>
    </row>
    <row r="88" spans="1:27" s="61" customFormat="1">
      <c r="A88" s="203"/>
      <c r="B88" s="203"/>
      <c r="C88" s="203"/>
      <c r="D88" s="203"/>
      <c r="E88" s="203"/>
      <c r="F88" s="304"/>
      <c r="G88" s="304"/>
      <c r="H88" s="304"/>
      <c r="I88" s="304"/>
      <c r="J88" s="304"/>
      <c r="K88" s="304"/>
      <c r="L88" s="304"/>
      <c r="M88" s="304"/>
      <c r="N88" s="304"/>
      <c r="O88" s="203"/>
      <c r="P88" s="210"/>
      <c r="Q88" s="204"/>
      <c r="R88" s="210"/>
      <c r="S88" s="214"/>
      <c r="T88" s="57"/>
      <c r="U88" s="60"/>
    </row>
    <row r="89" spans="1:27" s="245" customFormat="1" ht="72.5">
      <c r="A89" s="250"/>
      <c r="B89" s="250"/>
      <c r="C89" s="250" t="s">
        <v>58</v>
      </c>
      <c r="D89" s="250" t="s">
        <v>58</v>
      </c>
      <c r="E89" s="250"/>
      <c r="F89" s="294"/>
      <c r="G89" s="294"/>
      <c r="H89" s="294"/>
      <c r="I89" s="294"/>
      <c r="J89" s="294"/>
      <c r="K89" s="294"/>
      <c r="L89" s="294"/>
      <c r="M89" s="294"/>
      <c r="N89" s="294"/>
      <c r="O89" s="250"/>
      <c r="P89" s="251"/>
      <c r="Q89" s="243"/>
      <c r="R89" s="251">
        <v>1125</v>
      </c>
      <c r="S89" s="252" t="s">
        <v>291</v>
      </c>
      <c r="T89" s="241"/>
      <c r="U89" s="244"/>
    </row>
    <row r="90" spans="1:27" s="245" customFormat="1" ht="174">
      <c r="A90" s="250">
        <v>6</v>
      </c>
      <c r="B90" s="250"/>
      <c r="C90" s="250" t="s">
        <v>58</v>
      </c>
      <c r="D90" s="250" t="s">
        <v>58</v>
      </c>
      <c r="E90" s="250" t="s">
        <v>20</v>
      </c>
      <c r="F90" s="344"/>
      <c r="G90" s="344"/>
      <c r="H90" s="344"/>
      <c r="I90" s="344"/>
      <c r="J90" s="344"/>
      <c r="K90" s="344"/>
      <c r="L90" s="344"/>
      <c r="M90" s="344"/>
      <c r="N90" s="344"/>
      <c r="O90" s="250"/>
      <c r="P90" s="251"/>
      <c r="Q90" s="243"/>
      <c r="R90" s="251">
        <v>1500</v>
      </c>
      <c r="S90" s="252" t="s">
        <v>296</v>
      </c>
      <c r="T90" s="241"/>
      <c r="U90" s="244"/>
    </row>
    <row r="91" spans="1:27" s="1" customFormat="1">
      <c r="L91" s="201" t="s">
        <v>98</v>
      </c>
      <c r="M91" s="202"/>
      <c r="N91" s="202"/>
      <c r="O91" s="26">
        <f>SUM(O81:O86)</f>
        <v>3050</v>
      </c>
      <c r="P91" s="26">
        <f>SUM(P81:P90)</f>
        <v>3175</v>
      </c>
      <c r="Q91" s="26"/>
      <c r="R91" s="26">
        <f>SUM(R81:R90)</f>
        <v>5470</v>
      </c>
      <c r="S91" s="18"/>
      <c r="T91" s="26">
        <f>SUM(T81:T90)</f>
        <v>0</v>
      </c>
      <c r="U91" s="26"/>
    </row>
    <row r="92" spans="1:27" s="1" customFormat="1">
      <c r="N92" s="26"/>
      <c r="O92" s="26"/>
      <c r="P92" s="26"/>
      <c r="Q92" s="26"/>
      <c r="R92" s="26"/>
      <c r="S92" s="18"/>
      <c r="T92" s="26"/>
      <c r="U92" s="18"/>
    </row>
    <row r="93" spans="1:27" s="1" customFormat="1">
      <c r="L93" s="1" t="s">
        <v>169</v>
      </c>
      <c r="N93" s="26"/>
      <c r="O93" s="26">
        <f>SUM(O77,O61,O91,O56,O44)</f>
        <v>22365.360000000001</v>
      </c>
      <c r="P93" s="26">
        <f>SUM(P77,P61,P91,P56,P44)</f>
        <v>22365.360000000001</v>
      </c>
      <c r="Q93" s="26"/>
      <c r="R93" s="26">
        <f>SUM(R77,R61,R91,R56,R44)</f>
        <v>22336.03</v>
      </c>
      <c r="S93" s="26"/>
      <c r="T93" s="26">
        <f>SUM(T77,T61,T91,T56,T44)</f>
        <v>0</v>
      </c>
      <c r="U93" s="18"/>
    </row>
    <row r="94" spans="1:27" s="1" customFormat="1" ht="15" thickBot="1">
      <c r="N94" s="26"/>
      <c r="O94" s="26"/>
      <c r="P94" s="26"/>
      <c r="Q94" s="18"/>
      <c r="R94" s="26"/>
      <c r="S94" s="18"/>
      <c r="T94" s="26"/>
      <c r="U94" s="18"/>
    </row>
    <row r="95" spans="1:27" s="1" customFormat="1" ht="21.5" thickBot="1">
      <c r="E95" s="330" t="s">
        <v>101</v>
      </c>
      <c r="F95" s="331"/>
      <c r="G95" s="331"/>
      <c r="H95" s="331"/>
      <c r="I95" s="331"/>
      <c r="J95" s="331"/>
      <c r="K95" s="331"/>
      <c r="L95" s="331"/>
      <c r="M95" s="331"/>
      <c r="N95" s="332"/>
      <c r="O95" s="32">
        <f>SUM(O77,O61,O91,O56,O44,O37)</f>
        <v>47617.36</v>
      </c>
      <c r="P95" s="32">
        <f>SUM(P77,P61,P91,P56,P44,P37)</f>
        <v>47617.36</v>
      </c>
      <c r="Q95" s="26"/>
      <c r="R95" s="32">
        <f>SUM(R77,R61,R91,R56,R44,R37)</f>
        <v>46880.03</v>
      </c>
      <c r="S95" s="26"/>
      <c r="T95" s="32">
        <f>SUM(T77,T61,T91,T56,T44,T37)</f>
        <v>0</v>
      </c>
      <c r="U95" s="26"/>
    </row>
    <row r="96" spans="1:27" s="1" customFormat="1" ht="15.75" customHeight="1">
      <c r="G96" s="31"/>
      <c r="H96" s="31"/>
      <c r="I96" s="31"/>
      <c r="J96" s="31"/>
      <c r="K96" s="31"/>
      <c r="L96" s="31"/>
      <c r="M96" s="31"/>
      <c r="N96" s="31"/>
      <c r="O96" s="26"/>
      <c r="P96" s="26"/>
      <c r="Q96" s="26"/>
      <c r="R96" s="26"/>
      <c r="S96" s="26"/>
      <c r="T96" s="26"/>
      <c r="U96" s="26"/>
    </row>
    <row r="98" spans="1:21" s="88" customFormat="1" ht="37.5" customHeight="1">
      <c r="A98" s="122" t="s">
        <v>35</v>
      </c>
      <c r="B98" s="123"/>
      <c r="C98" s="123"/>
      <c r="D98" s="124"/>
      <c r="E98" s="125"/>
      <c r="F98" s="125"/>
      <c r="G98" s="125"/>
      <c r="H98" s="125"/>
      <c r="I98" s="125"/>
      <c r="J98" s="125"/>
      <c r="K98" s="125"/>
      <c r="L98" s="125"/>
      <c r="M98" s="125"/>
      <c r="N98" s="126"/>
      <c r="O98" s="127" t="s">
        <v>87</v>
      </c>
      <c r="P98" s="127" t="s">
        <v>37</v>
      </c>
      <c r="Q98" s="128" t="s">
        <v>88</v>
      </c>
      <c r="R98" s="127" t="s">
        <v>38</v>
      </c>
      <c r="S98" s="128" t="s">
        <v>88</v>
      </c>
      <c r="T98" s="127" t="s">
        <v>39</v>
      </c>
      <c r="U98" s="128" t="s">
        <v>88</v>
      </c>
    </row>
    <row r="99" spans="1:21">
      <c r="A99" s="46" t="s">
        <v>83</v>
      </c>
      <c r="B99" s="4"/>
      <c r="C99" s="19" t="s">
        <v>78</v>
      </c>
      <c r="D99" s="19" t="s">
        <v>77</v>
      </c>
      <c r="E99" s="48" t="s">
        <v>32</v>
      </c>
      <c r="F99" s="4" t="s">
        <v>33</v>
      </c>
      <c r="G99" s="4"/>
      <c r="H99" s="4"/>
      <c r="I99" s="4"/>
      <c r="J99" s="4"/>
      <c r="K99" s="4"/>
      <c r="L99" s="4"/>
      <c r="M99" s="4"/>
      <c r="N99" s="4"/>
      <c r="O99" s="15" t="s">
        <v>34</v>
      </c>
      <c r="P99" s="15" t="s">
        <v>34</v>
      </c>
      <c r="Q99" s="22"/>
      <c r="R99" s="15" t="s">
        <v>34</v>
      </c>
      <c r="S99" s="23"/>
      <c r="T99" s="15" t="s">
        <v>34</v>
      </c>
      <c r="U99" s="23"/>
    </row>
    <row r="100" spans="1:21" s="61" customFormat="1" ht="52.5" hidden="1" customHeight="1">
      <c r="A100" s="52"/>
      <c r="B100" s="53"/>
      <c r="C100" s="54"/>
      <c r="D100" s="54"/>
      <c r="E100" s="63" t="s">
        <v>60</v>
      </c>
      <c r="F100" s="319"/>
      <c r="G100" s="320"/>
      <c r="H100" s="320"/>
      <c r="I100" s="320"/>
      <c r="J100" s="320"/>
      <c r="K100" s="320"/>
      <c r="L100" s="320"/>
      <c r="M100" s="320"/>
      <c r="N100" s="321"/>
      <c r="O100" s="57"/>
      <c r="P100" s="57"/>
      <c r="Q100" s="58"/>
      <c r="R100" s="57"/>
      <c r="S100" s="60"/>
      <c r="T100" s="57"/>
      <c r="U100" s="60"/>
    </row>
    <row r="101" spans="1:21" s="1" customFormat="1" ht="15.5">
      <c r="M101" s="37"/>
      <c r="N101" s="37" t="s">
        <v>82</v>
      </c>
      <c r="O101" s="26">
        <f>SUM(O100:O100)</f>
        <v>0</v>
      </c>
      <c r="P101" s="26">
        <f>SUM(P100:P100)</f>
        <v>0</v>
      </c>
      <c r="Q101" s="18"/>
      <c r="R101" s="26">
        <f>SUM(R100:R100)</f>
        <v>0</v>
      </c>
      <c r="S101" s="18"/>
      <c r="T101" s="26">
        <f>SUM(T100:T100)</f>
        <v>0</v>
      </c>
      <c r="U101" s="18"/>
    </row>
    <row r="104" spans="1:21" ht="15" thickBot="1"/>
    <row r="105" spans="1:21" s="1" customFormat="1" ht="21.5" thickBot="1">
      <c r="G105" s="2"/>
      <c r="H105" s="330" t="s">
        <v>100</v>
      </c>
      <c r="I105" s="331"/>
      <c r="J105" s="331"/>
      <c r="K105" s="331"/>
      <c r="L105" s="331"/>
      <c r="M105" s="331"/>
      <c r="N105" s="332"/>
      <c r="O105" s="71">
        <f>O95*0.05</f>
        <v>2380.8679999999999</v>
      </c>
      <c r="P105" s="71">
        <f>P95*0.05</f>
        <v>2380.8679999999999</v>
      </c>
      <c r="Q105" s="71"/>
      <c r="R105" s="254">
        <v>2344</v>
      </c>
      <c r="S105" s="253">
        <f>0.05*R95</f>
        <v>2344.0014999999999</v>
      </c>
      <c r="T105" s="71">
        <v>0</v>
      </c>
      <c r="U105" s="26"/>
    </row>
    <row r="107" spans="1:21" ht="15" thickBot="1"/>
    <row r="108" spans="1:21" s="33" customFormat="1" ht="24" thickBot="1">
      <c r="E108" s="348" t="s">
        <v>102</v>
      </c>
      <c r="F108" s="349"/>
      <c r="G108" s="349"/>
      <c r="H108" s="349"/>
      <c r="I108" s="349"/>
      <c r="J108" s="349"/>
      <c r="K108" s="349"/>
      <c r="L108" s="349"/>
      <c r="M108" s="349"/>
      <c r="N108" s="350"/>
      <c r="O108" s="35">
        <f>SUM(O105,O101,O95)</f>
        <v>49998.228000000003</v>
      </c>
      <c r="P108" s="35">
        <f>SUM(P105,P101,P95)</f>
        <v>49998.228000000003</v>
      </c>
      <c r="Q108" s="35"/>
      <c r="R108" s="35">
        <f>SUM(R105,R101,R95)</f>
        <v>49224.03</v>
      </c>
      <c r="S108" s="35"/>
      <c r="T108" s="35">
        <f>SUM(T105,T101,T95)</f>
        <v>0</v>
      </c>
      <c r="U108" s="34"/>
    </row>
    <row r="110" spans="1:21">
      <c r="R110" s="216">
        <f>P108-R108</f>
        <v>774.19800000000396</v>
      </c>
    </row>
    <row r="111" spans="1:21">
      <c r="P111" s="86"/>
    </row>
    <row r="113" spans="16:16">
      <c r="P113" s="86"/>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50">
    <mergeCell ref="E108:N108"/>
    <mergeCell ref="A11:Q15"/>
    <mergeCell ref="K37:N37"/>
    <mergeCell ref="F48:N48"/>
    <mergeCell ref="F49:N49"/>
    <mergeCell ref="F68:N68"/>
    <mergeCell ref="F100:N100"/>
    <mergeCell ref="F83:N83"/>
    <mergeCell ref="F69:N69"/>
    <mergeCell ref="F70:N70"/>
    <mergeCell ref="E95:N95"/>
    <mergeCell ref="F86:N86"/>
    <mergeCell ref="F72:N72"/>
    <mergeCell ref="F74:N74"/>
    <mergeCell ref="F50:N50"/>
    <mergeCell ref="H105:N105"/>
    <mergeCell ref="F85:N85"/>
    <mergeCell ref="D1:E1"/>
    <mergeCell ref="F23:N23"/>
    <mergeCell ref="F24:N24"/>
    <mergeCell ref="F25:N25"/>
    <mergeCell ref="F30:N30"/>
    <mergeCell ref="A20:D20"/>
    <mergeCell ref="F73:N73"/>
    <mergeCell ref="F76:N76"/>
    <mergeCell ref="F75:N75"/>
    <mergeCell ref="F67:N67"/>
    <mergeCell ref="F84:N84"/>
    <mergeCell ref="F87:N87"/>
    <mergeCell ref="F90:N90"/>
    <mergeCell ref="F31:N31"/>
    <mergeCell ref="A38:D38"/>
    <mergeCell ref="F41:N41"/>
    <mergeCell ref="F43:N43"/>
    <mergeCell ref="F60:N60"/>
    <mergeCell ref="F32:N32"/>
    <mergeCell ref="F42:N42"/>
    <mergeCell ref="F55:N55"/>
    <mergeCell ref="F33:N33"/>
    <mergeCell ref="F52:N52"/>
    <mergeCell ref="F89:N89"/>
    <mergeCell ref="F81:N81"/>
    <mergeCell ref="F82:N82"/>
    <mergeCell ref="F51:N51"/>
    <mergeCell ref="F88:N88"/>
    <mergeCell ref="F53:N53"/>
    <mergeCell ref="F54:N54"/>
    <mergeCell ref="F71:N71"/>
    <mergeCell ref="F65:N65"/>
    <mergeCell ref="F66:N66"/>
  </mergeCells>
  <dataValidations count="10">
    <dataValidation type="list" allowBlank="1" showInputMessage="1" showErrorMessage="1" sqref="C30:D33 C81:D86 C100:D100 C23:D25 C41:D43 C65:D76 C60:D60 C48:D55" xr:uid="{00000000-0002-0000-0200-000000000000}">
      <formula1>Quarter1</formula1>
    </dataValidation>
    <dataValidation type="list" allowBlank="1" showInputMessage="1" showErrorMessage="1" sqref="H8" xr:uid="{00000000-0002-0000-0200-000001000000}">
      <formula1>YesNo</formula1>
    </dataValidation>
    <dataValidation allowBlank="1" showInputMessage="1" showErrorMessage="1" error="Please select from the drop down menu" sqref="E30:E33" xr:uid="{00000000-0002-0000-0200-000002000000}"/>
    <dataValidation type="list" allowBlank="1" showInputMessage="1" showErrorMessage="1" sqref="E100" xr:uid="{00000000-0002-0000-0200-000003000000}">
      <formula1>Salaries</formula1>
    </dataValidation>
    <dataValidation type="list" allowBlank="1" showInputMessage="1" showErrorMessage="1" error="Please select from the drop down menu" sqref="E23:E25" xr:uid="{00000000-0002-0000-0200-000004000000}">
      <formula1>Salary</formula1>
    </dataValidation>
    <dataValidation type="list" allowBlank="1" showInputMessage="1" showErrorMessage="1" error="Please Select from the Drop Down Menu" sqref="E41:E43" xr:uid="{00000000-0002-0000-0200-000005000000}">
      <formula1>ContractedServices</formula1>
    </dataValidation>
    <dataValidation type="list" allowBlank="1" showInputMessage="1" showErrorMessage="1" error="Please Select from the Drop Down Menu" sqref="E60" xr:uid="{00000000-0002-0000-0200-000006000000}">
      <formula1>Telephone</formula1>
    </dataValidation>
    <dataValidation allowBlank="1" showInputMessage="1" showErrorMessage="1" error="Please Select from the Drop Down Menu" sqref="E65:E76" xr:uid="{00000000-0002-0000-0200-000007000000}"/>
    <dataValidation type="list" allowBlank="1" showInputMessage="1" showErrorMessage="1" sqref="E81:E86" xr:uid="{00000000-0002-0000-0200-000008000000}">
      <formula1>Other</formula1>
    </dataValidation>
    <dataValidation type="list" allowBlank="1" showInputMessage="1" showErrorMessage="1" error="Please Select from the Drop Down Menu" sqref="E48:E55" xr:uid="{00000000-0002-0000-0200-000009000000}">
      <formula1>Supplies</formula1>
    </dataValidation>
  </dataValidations>
  <pageMargins left="0.7" right="0.7" top="0.75" bottom="0.75" header="0.3" footer="0.3"/>
  <pageSetup scale="55" orientation="landscape" r:id="rId2"/>
  <ignoredErrors>
    <ignoredError sqref="S10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D4" workbookViewId="0">
      <selection activeCell="K17" sqref="K17"/>
    </sheetView>
  </sheetViews>
  <sheetFormatPr defaultColWidth="8.81640625" defaultRowHeight="14.5"/>
  <cols>
    <col min="1" max="1" width="3" bestFit="1" customWidth="1"/>
    <col min="2" max="2" width="28.81640625" customWidth="1"/>
    <col min="3" max="3" width="16.453125" customWidth="1"/>
    <col min="4" max="4" width="6.726562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453125" customWidth="1"/>
    <col min="13" max="13" width="3" bestFit="1" customWidth="1"/>
    <col min="14" max="14" width="27.453125" bestFit="1" customWidth="1"/>
    <col min="15" max="15" width="16.453125" customWidth="1"/>
    <col min="16" max="16" width="6.7265625" customWidth="1"/>
    <col min="18" max="18" width="3" bestFit="1" customWidth="1"/>
    <col min="19" max="19" width="27.453125" bestFit="1" customWidth="1"/>
    <col min="22" max="22" width="27.453125" bestFit="1" customWidth="1"/>
  </cols>
  <sheetData>
    <row r="1" spans="1:15" ht="18.5">
      <c r="A1" s="368" t="s">
        <v>41</v>
      </c>
      <c r="B1" s="368"/>
      <c r="C1" s="368"/>
      <c r="E1" s="368" t="s">
        <v>37</v>
      </c>
      <c r="F1" s="368"/>
      <c r="G1" s="368"/>
      <c r="I1" s="368" t="s">
        <v>38</v>
      </c>
      <c r="J1" s="368"/>
      <c r="K1" s="368"/>
      <c r="M1" s="368" t="s">
        <v>39</v>
      </c>
      <c r="N1" s="368"/>
      <c r="O1" s="368"/>
    </row>
    <row r="2" spans="1:15">
      <c r="A2" s="279" t="s">
        <v>2</v>
      </c>
      <c r="B2" s="279"/>
      <c r="C2" s="1" t="s">
        <v>0</v>
      </c>
      <c r="E2" s="279" t="s">
        <v>2</v>
      </c>
      <c r="F2" s="279"/>
      <c r="G2" s="1" t="s">
        <v>0</v>
      </c>
      <c r="I2" s="279" t="s">
        <v>2</v>
      </c>
      <c r="J2" s="279"/>
      <c r="K2" s="1" t="s">
        <v>0</v>
      </c>
      <c r="M2" s="279" t="s">
        <v>2</v>
      </c>
      <c r="N2" s="279"/>
      <c r="O2" s="1" t="s">
        <v>0</v>
      </c>
    </row>
    <row r="3" spans="1:15">
      <c r="A3" s="366" t="s">
        <v>5</v>
      </c>
      <c r="B3" s="367"/>
      <c r="C3" s="49"/>
      <c r="E3" s="366" t="s">
        <v>5</v>
      </c>
      <c r="F3" s="367"/>
      <c r="G3" s="49"/>
      <c r="I3" s="366" t="s">
        <v>5</v>
      </c>
      <c r="J3" s="367"/>
      <c r="K3" s="49"/>
      <c r="M3" s="366" t="s">
        <v>5</v>
      </c>
      <c r="N3" s="367"/>
      <c r="O3" s="49"/>
    </row>
    <row r="4" spans="1:15">
      <c r="A4" s="5">
        <v>1</v>
      </c>
      <c r="B4" s="6" t="s">
        <v>1</v>
      </c>
      <c r="C4" s="49">
        <f>SUMIF('Budget Detail &amp; Amendments'!E23:E25, B4, 'Budget Detail &amp; Amendments'!O23:O25)</f>
        <v>20800</v>
      </c>
      <c r="E4" s="5">
        <v>1</v>
      </c>
      <c r="F4" s="6" t="s">
        <v>1</v>
      </c>
      <c r="G4" s="49">
        <f>SUMIF('Budget Detail &amp; Amendments'!E23:E25, 'Budget Roll-Up'!F4, 'Budget Detail &amp; Amendments'!P23:P25)</f>
        <v>20800</v>
      </c>
      <c r="I4" s="5">
        <v>1</v>
      </c>
      <c r="J4" s="6" t="s">
        <v>1</v>
      </c>
      <c r="K4" s="49">
        <f>SUMIF('Budget Detail &amp; Amendments'!E23:E25, 'Budget Roll-Up'!J4, 'Budget Detail &amp; Amendments'!R23:R25)</f>
        <v>20800</v>
      </c>
      <c r="M4" s="5">
        <v>1</v>
      </c>
      <c r="N4" s="6" t="s">
        <v>1</v>
      </c>
      <c r="O4" s="49">
        <f>SUMIF('Budget Detail &amp; Amendments'!E23:E25, 'Budget Roll-Up'!N4, 'Budget Detail &amp; Amendments'!T23:T25)</f>
        <v>0</v>
      </c>
    </row>
    <row r="5" spans="1:15">
      <c r="A5" s="5">
        <v>2</v>
      </c>
      <c r="B5" s="6" t="s">
        <v>3</v>
      </c>
      <c r="C5" s="49">
        <f>SUMIF('Budget Detail &amp; Amendments'!E23:E25, B5, 'Budget Detail &amp; Amendments'!O23:O25)</f>
        <v>600</v>
      </c>
      <c r="E5" s="5">
        <v>2</v>
      </c>
      <c r="F5" s="6" t="s">
        <v>3</v>
      </c>
      <c r="G5" s="49">
        <f>SUMIF('Budget Detail &amp; Amendments'!E23:E25, 'Budget Roll-Up'!F5, 'Budget Detail &amp; Amendments'!P23:P25)</f>
        <v>600</v>
      </c>
      <c r="I5" s="5">
        <v>2</v>
      </c>
      <c r="J5" s="6" t="s">
        <v>3</v>
      </c>
      <c r="K5" s="49">
        <f>SUMIF('Budget Detail &amp; Amendments'!E23:E25, 'Budget Roll-Up'!J5, 'Budget Detail &amp; Amendments'!R23:R25)</f>
        <v>0</v>
      </c>
      <c r="M5" s="5">
        <v>2</v>
      </c>
      <c r="N5" s="6" t="s">
        <v>3</v>
      </c>
      <c r="O5" s="49">
        <f>SUMIF('Budget Detail &amp; Amendments'!E23:E25, 'Budget Roll-Up'!N5, 'Budget Detail &amp; Amendments'!T23:T25)</f>
        <v>0</v>
      </c>
    </row>
    <row r="6" spans="1:15">
      <c r="A6" s="5">
        <v>3</v>
      </c>
      <c r="B6" s="6" t="s">
        <v>4</v>
      </c>
      <c r="C6" s="49">
        <f>'Budget Detail &amp; Amendments'!O34</f>
        <v>3852</v>
      </c>
      <c r="E6" s="5">
        <v>3</v>
      </c>
      <c r="F6" s="6" t="s">
        <v>4</v>
      </c>
      <c r="G6" s="49">
        <f>'Budget Detail &amp; Amendments'!P34</f>
        <v>3852</v>
      </c>
      <c r="I6" s="5">
        <v>3</v>
      </c>
      <c r="J6" s="6" t="s">
        <v>4</v>
      </c>
      <c r="K6" s="49">
        <f>'Budget Detail &amp; Amendments'!R34</f>
        <v>3744</v>
      </c>
      <c r="M6" s="5">
        <v>3</v>
      </c>
      <c r="N6" s="6" t="s">
        <v>4</v>
      </c>
      <c r="O6" s="49">
        <f>'Budget Detail &amp; Amendments'!T34</f>
        <v>0</v>
      </c>
    </row>
    <row r="7" spans="1:15">
      <c r="A7" s="7">
        <v>4</v>
      </c>
      <c r="B7" s="8" t="s">
        <v>6</v>
      </c>
      <c r="C7" s="50">
        <f>SUM(C4:C6)</f>
        <v>25252</v>
      </c>
      <c r="E7" s="7">
        <v>4</v>
      </c>
      <c r="F7" s="8" t="s">
        <v>6</v>
      </c>
      <c r="G7" s="50">
        <f>SUM(G4:G6)</f>
        <v>25252</v>
      </c>
      <c r="I7" s="7">
        <v>4</v>
      </c>
      <c r="J7" s="8" t="s">
        <v>6</v>
      </c>
      <c r="K7" s="50">
        <f>SUM(K4:K6)</f>
        <v>24544</v>
      </c>
      <c r="M7" s="7">
        <v>4</v>
      </c>
      <c r="N7" s="8" t="s">
        <v>6</v>
      </c>
      <c r="O7" s="50">
        <f>SUM(O4:O6)</f>
        <v>0</v>
      </c>
    </row>
    <row r="8" spans="1:15">
      <c r="G8" s="51"/>
      <c r="K8" s="51"/>
      <c r="O8" s="51"/>
    </row>
    <row r="9" spans="1:15">
      <c r="A9" s="279" t="s">
        <v>7</v>
      </c>
      <c r="B9" s="279"/>
      <c r="E9" s="279" t="s">
        <v>7</v>
      </c>
      <c r="F9" s="279"/>
      <c r="G9" s="51"/>
      <c r="I9" s="279" t="s">
        <v>7</v>
      </c>
      <c r="J9" s="279"/>
      <c r="K9" s="51"/>
      <c r="M9" s="279" t="s">
        <v>7</v>
      </c>
      <c r="N9" s="279"/>
      <c r="O9" s="51"/>
    </row>
    <row r="10" spans="1:15">
      <c r="A10" s="5">
        <v>5</v>
      </c>
      <c r="B10" s="6" t="s">
        <v>8</v>
      </c>
      <c r="C10" s="49">
        <f>SUMIF('Budget Detail &amp; Amendments'!E41:E43, B10, 'Budget Detail &amp; Amendments'!O41:O43)</f>
        <v>940</v>
      </c>
      <c r="E10" s="5">
        <v>5</v>
      </c>
      <c r="F10" s="6" t="s">
        <v>8</v>
      </c>
      <c r="G10" s="49">
        <f>SUMIF('Budget Detail &amp; Amendments'!E41:E43, 'Budget Roll-Up'!F10, 'Budget Detail &amp; Amendments'!P41:P43)</f>
        <v>940</v>
      </c>
      <c r="I10" s="5">
        <v>5</v>
      </c>
      <c r="J10" s="6" t="s">
        <v>8</v>
      </c>
      <c r="K10" s="49">
        <f>SUMIF('Budget Detail &amp; Amendments'!E41:E43, 'Budget Roll-Up'!J10, 'Budget Detail &amp; Amendments'!R41:R43)</f>
        <v>495</v>
      </c>
      <c r="M10" s="5">
        <v>5</v>
      </c>
      <c r="N10" s="6" t="s">
        <v>8</v>
      </c>
      <c r="O10" s="49">
        <f>SUMIF('Budget Detail &amp; Amendments'!E41:E43, 'Budget Roll-Up'!N10, 'Budget Detail &amp; Amendments'!T41:T43)</f>
        <v>0</v>
      </c>
    </row>
    <row r="11" spans="1:15">
      <c r="A11" s="5">
        <v>6</v>
      </c>
      <c r="B11" s="6" t="s">
        <v>9</v>
      </c>
      <c r="C11" s="49"/>
      <c r="E11" s="5">
        <v>6</v>
      </c>
      <c r="F11" s="6" t="s">
        <v>9</v>
      </c>
      <c r="G11" s="49"/>
      <c r="I11" s="5">
        <v>6</v>
      </c>
      <c r="J11" s="6" t="s">
        <v>9</v>
      </c>
      <c r="K11" s="49"/>
      <c r="M11" s="5">
        <v>6</v>
      </c>
      <c r="N11" s="6" t="s">
        <v>9</v>
      </c>
      <c r="O11" s="49"/>
    </row>
    <row r="12" spans="1:15">
      <c r="A12" s="5">
        <v>7</v>
      </c>
      <c r="B12" s="6" t="s">
        <v>10</v>
      </c>
      <c r="C12" s="49">
        <f>SUMIF('Budget Detail &amp; Amendments'!E41:E43, 'Budget Roll-Up'!B12, 'Budget Detail &amp; Amendments'!O41:O43)</f>
        <v>325</v>
      </c>
      <c r="E12" s="5">
        <v>7</v>
      </c>
      <c r="F12" s="6" t="s">
        <v>10</v>
      </c>
      <c r="G12" s="49">
        <f>SUMIF('Budget Detail &amp; Amendments'!E41:E43, 'Budget Roll-Up'!F12, 'Budget Detail &amp; Amendments'!P41:P43)</f>
        <v>325</v>
      </c>
      <c r="I12" s="5">
        <v>7</v>
      </c>
      <c r="J12" s="6" t="s">
        <v>10</v>
      </c>
      <c r="K12" s="49">
        <f>SUMIF('Budget Detail &amp; Amendments'!E41:E43, 'Budget Roll-Up'!J12, 'Budget Detail &amp; Amendments'!R41:R43)</f>
        <v>0</v>
      </c>
      <c r="M12" s="5">
        <v>7</v>
      </c>
      <c r="N12" s="6" t="s">
        <v>10</v>
      </c>
      <c r="O12" s="49">
        <f>SUMIF('Budget Detail &amp; Amendments'!E41:E43, 'Budget Roll-Up'!N12, 'Budget Detail &amp; Amendments'!T41:T43)</f>
        <v>0</v>
      </c>
    </row>
    <row r="13" spans="1:15">
      <c r="A13" s="5">
        <v>8</v>
      </c>
      <c r="B13" s="6" t="s">
        <v>13</v>
      </c>
      <c r="C13" s="49">
        <f>SUMIF('Budget Detail &amp; Amendments'!E48:E55, 'Budget Roll-Up'!B13, 'Budget Detail &amp; Amendments'!O48:O55)</f>
        <v>1300</v>
      </c>
      <c r="E13" s="5">
        <v>8</v>
      </c>
      <c r="F13" s="6" t="s">
        <v>13</v>
      </c>
      <c r="G13" s="49">
        <f>SUMIF('Budget Detail &amp; Amendments'!E48:E55, 'Budget Roll-Up'!F13, 'Budget Detail &amp; Amendments'!P48:P55)</f>
        <v>1300</v>
      </c>
      <c r="I13" s="5">
        <v>8</v>
      </c>
      <c r="J13" s="6" t="s">
        <v>13</v>
      </c>
      <c r="K13" s="49">
        <f>SUMIF('Budget Detail &amp; Amendments'!E48:E55, 'Budget Roll-Up'!J13, 'Budget Detail &amp; Amendments'!R48:R55)</f>
        <v>500</v>
      </c>
      <c r="M13" s="5">
        <v>8</v>
      </c>
      <c r="N13" s="6" t="s">
        <v>13</v>
      </c>
      <c r="O13" s="49">
        <f>SUMIF('Budget Detail &amp; Amendments'!E48:E55, 'Budget Roll-Up'!N13, 'Budget Detail &amp; Amendments'!T48:T55)</f>
        <v>0</v>
      </c>
    </row>
    <row r="14" spans="1:15">
      <c r="A14" s="5">
        <v>9</v>
      </c>
      <c r="B14" s="6" t="s">
        <v>11</v>
      </c>
      <c r="C14" s="49">
        <f>SUMIF('Budget Detail &amp; Amendments'!E48:E55, 'Budget Roll-Up'!B14, 'Budget Detail &amp; Amendments'!O48:O55)</f>
        <v>0</v>
      </c>
      <c r="E14" s="5">
        <v>9</v>
      </c>
      <c r="F14" s="6" t="s">
        <v>11</v>
      </c>
      <c r="G14" s="49">
        <f>SUMIF('Budget Detail &amp; Amendments'!E48:E55, 'Budget Roll-Up'!F14, 'Budget Detail &amp; Amendments'!P48:P55)</f>
        <v>0</v>
      </c>
      <c r="I14" s="5">
        <v>9</v>
      </c>
      <c r="J14" s="6" t="s">
        <v>11</v>
      </c>
      <c r="K14" s="49">
        <f>SUMIF('Budget Detail &amp; Amendments'!E48:E55, 'Budget Roll-Up'!J14, 'Budget Detail &amp; Amendments'!R48:R55)</f>
        <v>8710.7199999999993</v>
      </c>
      <c r="M14" s="5">
        <v>9</v>
      </c>
      <c r="N14" s="6" t="s">
        <v>11</v>
      </c>
      <c r="O14" s="49">
        <f>SUMIF('Budget Detail &amp; Amendments'!E48:E55, 'Budget Roll-Up'!N14, 'Budget Detail &amp; Amendments'!T48:T55)</f>
        <v>0</v>
      </c>
    </row>
    <row r="15" spans="1:15">
      <c r="A15" s="5">
        <v>10</v>
      </c>
      <c r="B15" s="6" t="s">
        <v>12</v>
      </c>
      <c r="C15" s="49">
        <f>SUMIF('Budget Detail &amp; Amendments'!E60:E60, 'Budget Roll-Up'!B15, 'Budget Detail &amp; Amendments'!O60:O60)</f>
        <v>0</v>
      </c>
      <c r="E15" s="5">
        <v>10</v>
      </c>
      <c r="F15" s="6" t="s">
        <v>12</v>
      </c>
      <c r="G15" s="49">
        <f>SUMIF('Budget Detail &amp; Amendments'!E60:E60, 'Budget Roll-Up'!F15, 'Budget Detail &amp; Amendments'!P60:P60)</f>
        <v>0</v>
      </c>
      <c r="I15" s="5">
        <v>10</v>
      </c>
      <c r="J15" s="6" t="s">
        <v>12</v>
      </c>
      <c r="K15" s="49">
        <f>SUMIF('Budget Detail &amp; Amendments'!E60:E60, 'Budget Roll-Up'!J15, 'Budget Detail &amp; Amendments'!R60:R60)</f>
        <v>0</v>
      </c>
      <c r="M15" s="5">
        <v>10</v>
      </c>
      <c r="N15" s="6" t="s">
        <v>12</v>
      </c>
      <c r="O15" s="49">
        <f>SUMIF('Budget Detail &amp; Amendments'!E60:E60, 'Budget Roll-Up'!N15, 'Budget Detail &amp; Amendments'!T60:T60)</f>
        <v>0</v>
      </c>
    </row>
    <row r="16" spans="1:15">
      <c r="A16" s="5">
        <v>11</v>
      </c>
      <c r="B16" s="6" t="s">
        <v>14</v>
      </c>
      <c r="C16" s="49">
        <f>SUMIF('Budget Detail &amp; Amendments'!E60:E60, 'Budget Roll-Up'!B16, 'Budget Detail &amp; Amendments'!O60:O60)</f>
        <v>0</v>
      </c>
      <c r="E16" s="5">
        <v>11</v>
      </c>
      <c r="F16" s="6" t="s">
        <v>14</v>
      </c>
      <c r="G16" s="49">
        <f>SUMIF('Budget Detail &amp; Amendments'!E60:E60, 'Budget Roll-Up'!F16, 'Budget Detail &amp; Amendments'!P60:P60)</f>
        <v>0</v>
      </c>
      <c r="I16" s="5">
        <v>11</v>
      </c>
      <c r="J16" s="6" t="s">
        <v>14</v>
      </c>
      <c r="K16" s="49">
        <f>SUMIF('Budget Detail &amp; Amendments'!E60:E60, 'Budget Roll-Up'!J16, 'Budget Detail &amp; Amendments'!R60:R60)</f>
        <v>0</v>
      </c>
      <c r="M16" s="5">
        <v>11</v>
      </c>
      <c r="N16" s="6" t="s">
        <v>14</v>
      </c>
      <c r="O16" s="49">
        <f>SUMIF('Budget Detail &amp; Amendments'!E60:E60, 'Budget Roll-Up'!N16, 'Budget Detail &amp; Amendments'!T60:T60)</f>
        <v>0</v>
      </c>
    </row>
    <row r="17" spans="1:15">
      <c r="A17" s="5">
        <v>12</v>
      </c>
      <c r="B17" s="6" t="s">
        <v>15</v>
      </c>
      <c r="C17" s="49">
        <f>'Budget Detail &amp; Amendments'!O77</f>
        <v>16750.36</v>
      </c>
      <c r="E17" s="5">
        <v>12</v>
      </c>
      <c r="F17" s="6" t="s">
        <v>15</v>
      </c>
      <c r="G17" s="49">
        <f>SUM('Budget Detail &amp; Amendments'!P77)</f>
        <v>16625.36</v>
      </c>
      <c r="I17" s="5">
        <v>12</v>
      </c>
      <c r="J17" s="6" t="s">
        <v>15</v>
      </c>
      <c r="K17" s="49">
        <f>SUM('Budget Detail &amp; Amendments'!R77)</f>
        <v>7160.31</v>
      </c>
      <c r="M17" s="5">
        <v>12</v>
      </c>
      <c r="N17" s="6" t="s">
        <v>15</v>
      </c>
      <c r="O17" s="49">
        <f>SUM('Budget Detail &amp; Amendments'!T77)</f>
        <v>0</v>
      </c>
    </row>
    <row r="18" spans="1:15">
      <c r="A18" s="5">
        <v>13</v>
      </c>
      <c r="B18" s="6" t="s">
        <v>16</v>
      </c>
      <c r="C18" s="49"/>
      <c r="E18" s="5">
        <v>13</v>
      </c>
      <c r="F18" s="6" t="s">
        <v>16</v>
      </c>
      <c r="G18" s="49"/>
      <c r="I18" s="5">
        <v>13</v>
      </c>
      <c r="J18" s="6" t="s">
        <v>16</v>
      </c>
      <c r="K18" s="49"/>
      <c r="M18" s="5">
        <v>13</v>
      </c>
      <c r="N18" s="6" t="s">
        <v>16</v>
      </c>
      <c r="O18" s="49"/>
    </row>
    <row r="19" spans="1:15">
      <c r="A19" s="5">
        <v>14</v>
      </c>
      <c r="B19" s="6" t="s">
        <v>17</v>
      </c>
      <c r="C19" s="49"/>
      <c r="E19" s="5">
        <v>14</v>
      </c>
      <c r="F19" s="6" t="s">
        <v>17</v>
      </c>
      <c r="G19" s="49"/>
      <c r="I19" s="5">
        <v>14</v>
      </c>
      <c r="J19" s="6" t="s">
        <v>17</v>
      </c>
      <c r="K19" s="49"/>
      <c r="M19" s="5">
        <v>14</v>
      </c>
      <c r="N19" s="6" t="s">
        <v>17</v>
      </c>
      <c r="O19" s="49"/>
    </row>
    <row r="20" spans="1:15">
      <c r="A20" s="5">
        <v>15</v>
      </c>
      <c r="B20" s="6" t="s">
        <v>18</v>
      </c>
      <c r="C20" s="49"/>
      <c r="E20" s="5">
        <v>15</v>
      </c>
      <c r="F20" s="6" t="s">
        <v>18</v>
      </c>
      <c r="G20" s="49"/>
      <c r="I20" s="5">
        <v>15</v>
      </c>
      <c r="J20" s="6" t="s">
        <v>18</v>
      </c>
      <c r="K20" s="49"/>
      <c r="M20" s="5">
        <v>15</v>
      </c>
      <c r="N20" s="6" t="s">
        <v>18</v>
      </c>
      <c r="O20" s="49"/>
    </row>
    <row r="21" spans="1:15">
      <c r="A21" s="5">
        <v>16</v>
      </c>
      <c r="B21" s="6" t="s">
        <v>19</v>
      </c>
      <c r="C21" s="49">
        <f>SUMIF('Budget Detail &amp; Amendments'!E81:E86, 'Budget Roll-Up'!B21, 'Budget Detail &amp; Amendments'!O81:O86)</f>
        <v>0</v>
      </c>
      <c r="E21" s="5">
        <v>16</v>
      </c>
      <c r="F21" s="6" t="s">
        <v>19</v>
      </c>
      <c r="G21" s="49">
        <f>SUMIF('Budget Detail &amp; Amendments'!E81:E86, 'Budget Roll-Up'!F21, 'Budget Detail &amp; Amendments'!P81:P90)</f>
        <v>0</v>
      </c>
      <c r="I21" s="5">
        <v>16</v>
      </c>
      <c r="J21" s="6" t="s">
        <v>19</v>
      </c>
      <c r="K21" s="49">
        <f>SUMIF('Budget Detail &amp; Amendments'!E81:E86, 'Budget Roll-Up'!J21, 'Budget Detail &amp; Amendments'!R81:R90)</f>
        <v>0</v>
      </c>
      <c r="M21" s="5">
        <v>16</v>
      </c>
      <c r="N21" s="6" t="s">
        <v>19</v>
      </c>
      <c r="O21" s="49">
        <f>SUMIF('Budget Detail &amp; Amendments'!E81:E86, 'Budget Roll-Up'!N21, 'Budget Detail &amp; Amendments'!T81:T90)</f>
        <v>0</v>
      </c>
    </row>
    <row r="22" spans="1:15">
      <c r="A22" s="5">
        <v>17</v>
      </c>
      <c r="B22" s="6" t="s">
        <v>20</v>
      </c>
      <c r="C22" s="49">
        <f>SUMIF('Budget Detail &amp; Amendments'!E81:E86, 'Budget Roll-Up'!B22, 'Budget Detail &amp; Amendments'!O81:O86)</f>
        <v>3050</v>
      </c>
      <c r="E22" s="5">
        <v>17</v>
      </c>
      <c r="F22" s="6" t="s">
        <v>20</v>
      </c>
      <c r="G22" s="49">
        <f>SUMIF('Budget Detail &amp; Amendments'!E81:E86, 'Budget Roll-Up'!F22, 'Budget Detail &amp; Amendments'!P81:P90)</f>
        <v>3050</v>
      </c>
      <c r="I22" s="5">
        <v>17</v>
      </c>
      <c r="J22" s="6" t="s">
        <v>20</v>
      </c>
      <c r="K22" s="49">
        <f>SUMIF('Budget Detail &amp; Amendments'!E81:E86, 'Budget Roll-Up'!J22, 'Budget Detail &amp; Amendments'!R81:R90)</f>
        <v>2720</v>
      </c>
      <c r="M22" s="5">
        <v>17</v>
      </c>
      <c r="N22" s="6" t="s">
        <v>20</v>
      </c>
      <c r="O22" s="49">
        <f>SUMIF('Budget Detail &amp; Amendments'!E81:E86, 'Budget Roll-Up'!N22, 'Budget Detail &amp; Amendments'!T81:T90)</f>
        <v>0</v>
      </c>
    </row>
    <row r="23" spans="1:15">
      <c r="A23" s="5">
        <v>18</v>
      </c>
      <c r="B23" s="6" t="s">
        <v>21</v>
      </c>
      <c r="C23" s="49">
        <f>SUMIF('Budget Detail &amp; Amendments'!E81:E86, 'Budget Roll-Up'!B23, 'Budget Detail &amp; Amendments'!O81:O86)</f>
        <v>0</v>
      </c>
      <c r="E23" s="5">
        <v>18</v>
      </c>
      <c r="F23" s="6" t="s">
        <v>21</v>
      </c>
      <c r="G23" s="49">
        <f>SUMIF('Budget Detail &amp; Amendments'!E81:E86, 'Budget Roll-Up'!F23, 'Budget Detail &amp; Amendments'!P81:P90)</f>
        <v>0</v>
      </c>
      <c r="I23" s="5">
        <v>18</v>
      </c>
      <c r="J23" s="6" t="s">
        <v>21</v>
      </c>
      <c r="K23" s="49">
        <f>SUMIF('Budget Detail &amp; Amendments'!E81:E86, 'Budget Roll-Up'!J23, 'Budget Detail &amp; Amendments'!R81:R90)</f>
        <v>0</v>
      </c>
      <c r="M23" s="5">
        <v>18</v>
      </c>
      <c r="N23" s="6" t="s">
        <v>21</v>
      </c>
      <c r="O23" s="49">
        <f>SUMIF('Budget Detail &amp; Amendments'!E81:E86, 'Budget Roll-Up'!N23, 'Budget Detail &amp; Amendments'!T81:T90)</f>
        <v>0</v>
      </c>
    </row>
    <row r="24" spans="1:15">
      <c r="A24" s="7">
        <v>19</v>
      </c>
      <c r="B24" s="8" t="s">
        <v>22</v>
      </c>
      <c r="C24" s="49">
        <f>SUM(C10:C23)</f>
        <v>22365.360000000001</v>
      </c>
      <c r="E24" s="7">
        <v>19</v>
      </c>
      <c r="F24" s="8" t="s">
        <v>22</v>
      </c>
      <c r="G24" s="49">
        <f>SUM(G10:G23)</f>
        <v>22240.36</v>
      </c>
      <c r="I24" s="7">
        <v>19</v>
      </c>
      <c r="J24" s="8" t="s">
        <v>22</v>
      </c>
      <c r="K24" s="49">
        <f>SUM(K10:K23)</f>
        <v>19586.03</v>
      </c>
      <c r="M24" s="7">
        <v>19</v>
      </c>
      <c r="N24" s="8" t="s">
        <v>22</v>
      </c>
      <c r="O24" s="49">
        <f>SUM(O10:O23)</f>
        <v>0</v>
      </c>
    </row>
    <row r="25" spans="1:15">
      <c r="C25" s="51"/>
      <c r="G25" s="51"/>
      <c r="K25" s="51"/>
      <c r="O25" s="51"/>
    </row>
    <row r="26" spans="1:15">
      <c r="A26" s="7">
        <v>20</v>
      </c>
      <c r="B26" s="8" t="s">
        <v>23</v>
      </c>
      <c r="C26" s="49">
        <f>'Budget Detail &amp; Amendments'!O105</f>
        <v>2380.8679999999999</v>
      </c>
      <c r="E26" s="7">
        <v>20</v>
      </c>
      <c r="F26" s="8" t="s">
        <v>23</v>
      </c>
      <c r="G26" s="49">
        <f>'Budget Detail &amp; Amendments'!P105</f>
        <v>2380.8679999999999</v>
      </c>
      <c r="I26" s="7">
        <v>20</v>
      </c>
      <c r="J26" s="8" t="s">
        <v>23</v>
      </c>
      <c r="K26" s="49">
        <f>SUM('Budget Detail &amp; Amendments'!R105)</f>
        <v>2344</v>
      </c>
      <c r="M26" s="7">
        <v>20</v>
      </c>
      <c r="N26" s="8" t="s">
        <v>23</v>
      </c>
      <c r="O26" s="49">
        <f>SUM('Budget Detail &amp; Amendments'!T105)</f>
        <v>0</v>
      </c>
    </row>
    <row r="27" spans="1:15">
      <c r="A27" s="1"/>
      <c r="B27" s="1"/>
      <c r="C27" s="51"/>
      <c r="E27" s="1"/>
      <c r="F27" s="1"/>
      <c r="G27" s="51"/>
      <c r="I27" s="1"/>
      <c r="J27" s="1"/>
      <c r="K27" s="51"/>
      <c r="M27" s="1"/>
      <c r="N27" s="1"/>
      <c r="O27" s="51"/>
    </row>
    <row r="28" spans="1:15">
      <c r="A28" s="7">
        <v>21</v>
      </c>
      <c r="B28" s="8" t="s">
        <v>24</v>
      </c>
      <c r="C28" s="49">
        <f>'Budget Detail &amp; Amendments'!O101</f>
        <v>0</v>
      </c>
      <c r="E28" s="7">
        <v>21</v>
      </c>
      <c r="F28" s="8" t="s">
        <v>24</v>
      </c>
      <c r="G28" s="49">
        <f>SUM('Budget Detail &amp; Amendments'!P101)</f>
        <v>0</v>
      </c>
      <c r="I28" s="7">
        <v>21</v>
      </c>
      <c r="J28" s="8" t="s">
        <v>24</v>
      </c>
      <c r="K28" s="49">
        <f>SUM('Budget Detail &amp; Amendments'!R101)</f>
        <v>0</v>
      </c>
      <c r="M28" s="7">
        <v>21</v>
      </c>
      <c r="N28" s="8" t="s">
        <v>24</v>
      </c>
      <c r="O28" s="49">
        <f>SUM('Budget Detail &amp; Amendments'!T101)</f>
        <v>0</v>
      </c>
    </row>
    <row r="29" spans="1:15">
      <c r="A29" s="2"/>
      <c r="B29" s="1"/>
      <c r="C29" s="51"/>
      <c r="E29" s="2"/>
      <c r="F29" s="1"/>
      <c r="G29" s="51"/>
      <c r="I29" s="2"/>
      <c r="J29" s="1"/>
      <c r="K29" s="51"/>
      <c r="M29" s="2"/>
      <c r="N29" s="1"/>
      <c r="O29" s="51"/>
    </row>
    <row r="30" spans="1:15">
      <c r="A30" s="7">
        <v>22</v>
      </c>
      <c r="B30" s="8" t="s">
        <v>25</v>
      </c>
      <c r="C30" s="49">
        <f>SUM(C7,C24,C26,C28)</f>
        <v>49998.228000000003</v>
      </c>
      <c r="E30" s="7">
        <v>22</v>
      </c>
      <c r="F30" s="8" t="s">
        <v>25</v>
      </c>
      <c r="G30" s="49">
        <f>SUM(G7,G24,G26,G28)</f>
        <v>49873.228000000003</v>
      </c>
      <c r="I30" s="7">
        <v>22</v>
      </c>
      <c r="J30" s="8" t="s">
        <v>25</v>
      </c>
      <c r="K30" s="49">
        <f>SUM(K7,K24,K26,K28)</f>
        <v>46474.03</v>
      </c>
      <c r="M30" s="7">
        <v>22</v>
      </c>
      <c r="N30" s="8" t="s">
        <v>25</v>
      </c>
      <c r="O30" s="49">
        <f>SUM(O7,O24,O26,O28)</f>
        <v>0</v>
      </c>
    </row>
    <row r="33" spans="1:7" ht="15" thickBot="1"/>
    <row r="34" spans="1:7" ht="15" customHeight="1" thickBot="1">
      <c r="A34" s="369" t="s">
        <v>84</v>
      </c>
      <c r="B34" s="370"/>
      <c r="C34" s="370"/>
      <c r="D34" s="370"/>
      <c r="E34" s="370"/>
      <c r="F34" s="370"/>
      <c r="G34" s="371"/>
    </row>
    <row r="35" spans="1:7">
      <c r="A35" s="20"/>
      <c r="C35" s="20"/>
      <c r="D35" s="20"/>
      <c r="E35" s="20"/>
      <c r="F35" s="20"/>
    </row>
    <row r="52" ht="15" customHeight="1"/>
  </sheetData>
  <sheetProtection algorithmName="SHA-512" hashValue="4O8TFfC37Y6L+qlUYdexmqR7wcHfYacIbo6y5gUbV5AstauCF4BmmkW5p7rJf4K9Y4Uwt+55RhVdqPIHI0syYg==" saltValue="KKaljmJGfHJaOixRxx2J0g=="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A15" sqref="A15:XFD15"/>
    </sheetView>
  </sheetViews>
  <sheetFormatPr defaultColWidth="8.81640625" defaultRowHeight="15.5"/>
  <cols>
    <col min="1" max="1" width="22.453125" style="21" customWidth="1"/>
    <col min="2" max="2" width="23.1796875" style="1" customWidth="1"/>
    <col min="4" max="4" width="17.453125" style="86" customWidth="1"/>
    <col min="6" max="6" width="18.1796875" style="87" customWidth="1"/>
    <col min="8" max="8" width="17.81640625" style="86" customWidth="1"/>
    <col min="10" max="10" width="18.26953125" style="86" customWidth="1"/>
  </cols>
  <sheetData>
    <row r="1" spans="1:10" s="130" customFormat="1" ht="18.5">
      <c r="A1" s="129"/>
      <c r="B1" s="129"/>
      <c r="D1" s="131" t="s">
        <v>164</v>
      </c>
      <c r="E1" s="132"/>
      <c r="F1" s="133" t="s">
        <v>37</v>
      </c>
      <c r="G1" s="132"/>
      <c r="H1" s="131" t="s">
        <v>38</v>
      </c>
      <c r="I1" s="132"/>
      <c r="J1" s="131" t="s">
        <v>39</v>
      </c>
    </row>
    <row r="3" spans="1:10">
      <c r="A3" s="21" t="s">
        <v>129</v>
      </c>
      <c r="B3" s="1" t="str">
        <f>Narrative!H2</f>
        <v>CAREER CAMP</v>
      </c>
      <c r="D3" s="86">
        <f ca="1">SUMIF('Budget Detail &amp; Amendments'!A:Q, 1, 'Budget Detail &amp; Amendments'!O:O)</f>
        <v>1933</v>
      </c>
      <c r="F3" s="87">
        <f ca="1">SUMIF('Budget Detail &amp; Amendments'!A:Q, 1, 'Budget Detail &amp; Amendments'!P:P)</f>
        <v>1933</v>
      </c>
      <c r="H3" s="86">
        <f ca="1">SUMIF('Budget Detail &amp; Amendments'!A:Q, 1, 'Budget Detail &amp; Amendments'!R:R)</f>
        <v>500</v>
      </c>
      <c r="J3" s="86">
        <f ca="1">SUMIF('Budget Detail &amp; Amendments'!A:Q, 1, 'Budget Detail &amp; Amendments'!T:T)</f>
        <v>0</v>
      </c>
    </row>
    <row r="5" spans="1:10">
      <c r="A5" s="21" t="s">
        <v>130</v>
      </c>
      <c r="B5" s="1" t="str">
        <f>Narrative!H35</f>
        <v>NACEP PRESENTATION</v>
      </c>
      <c r="D5" s="86">
        <f ca="1">SUMIF('Budget Detail &amp; Amendments'!A:Q, 2, 'Budget Detail &amp; Amendments'!O:O)</f>
        <v>5155.2</v>
      </c>
      <c r="F5" s="87">
        <f ca="1">SUMIF('Budget Detail &amp; Amendments'!A:Q, 2, 'Budget Detail &amp; Amendments'!P:P)</f>
        <v>4387.4799999999996</v>
      </c>
      <c r="H5" s="86">
        <f ca="1">SUMIF('Budget Detail &amp; Amendments'!A:Q, 2, 'Budget Detail &amp; Amendments'!R:R)</f>
        <v>4707.4799999999996</v>
      </c>
      <c r="J5" s="86">
        <f ca="1">SUMIF('Budget Detail &amp; Amendments'!A:Q, 2, 'Budget Detail &amp; Amendments'!T:T)</f>
        <v>0</v>
      </c>
    </row>
    <row r="7" spans="1:10">
      <c r="A7" s="21" t="s">
        <v>131</v>
      </c>
      <c r="B7" s="1" t="str">
        <f>Narrative!H68</f>
        <v>3rd Annual Welding Competition</v>
      </c>
      <c r="D7" s="86">
        <f ca="1">SUMIF('Budget Detail &amp; Amendments'!A:Q, 3, 'Budget Detail &amp; Amendments'!O:O)</f>
        <v>800</v>
      </c>
      <c r="F7" s="87">
        <f ca="1">SUMIF('Budget Detail &amp; Amendments'!A:Q, 3, 'Budget Detail &amp; Amendments'!P:P)</f>
        <v>800</v>
      </c>
      <c r="H7" s="86">
        <f ca="1">SUMIF('Budget Detail &amp; Amendments'!A:Q, 3, 'Budget Detail &amp; Amendments'!R:R)</f>
        <v>0</v>
      </c>
      <c r="J7" s="86">
        <f ca="1">SUMIF('Budget Detail &amp; Amendments'!A:Q, 3, 'Budget Detail &amp; Amendments'!T:T)</f>
        <v>0</v>
      </c>
    </row>
    <row r="9" spans="1:10">
      <c r="A9" s="21" t="s">
        <v>132</v>
      </c>
      <c r="B9" s="1" t="str">
        <f>Narrative!H101</f>
        <v>High School MCP visits</v>
      </c>
      <c r="D9" s="86">
        <f ca="1">SUMIF('Budget Detail &amp; Amendments'!A:Q, 4, 'Budget Detail &amp; Amendments'!O:O)</f>
        <v>4752.26</v>
      </c>
      <c r="F9" s="87">
        <f ca="1">SUMIF('Budget Detail &amp; Amendments'!A:Q, 4, 'Budget Detail &amp; Amendments'!P:P)</f>
        <v>4266.99</v>
      </c>
      <c r="H9" s="86">
        <f ca="1">SUMIF('Budget Detail &amp; Amendments'!A:Q, 4, 'Budget Detail &amp; Amendments'!R:R)</f>
        <v>2109.11</v>
      </c>
      <c r="J9" s="86">
        <f ca="1">SUMIF('Budget Detail &amp; Amendments'!A:Q, 4, 'Budget Detail &amp; Amendments'!T:T)</f>
        <v>0</v>
      </c>
    </row>
    <row r="11" spans="1:10">
      <c r="A11" s="21" t="s">
        <v>133</v>
      </c>
      <c r="B11" s="1" t="str">
        <f>Narrative!H134</f>
        <v>STATE ORGANIZATIONS</v>
      </c>
      <c r="D11" s="86">
        <f ca="1">SUMIF('Budget Detail &amp; Amendments'!A:Q, 5, 'Budget Detail &amp; Amendments'!O:O)</f>
        <v>3946.06</v>
      </c>
      <c r="F11" s="87">
        <f ca="1">SUMIF('Budget Detail &amp; Amendments'!A:Q, 5, 'Budget Detail &amp; Amendments'!P:P)</f>
        <v>3946.06</v>
      </c>
      <c r="H11" s="86">
        <f ca="1">SUMIF('Budget Detail &amp; Amendments'!A:Q, 5, 'Budget Detail &amp; Amendments'!R:R)</f>
        <v>806.54</v>
      </c>
      <c r="J11" s="86">
        <f ca="1">SUMIF('Budget Detail &amp; Amendments'!A:Q, 5, 'Budget Detail &amp; Amendments'!T:T)</f>
        <v>0</v>
      </c>
    </row>
    <row r="13" spans="1:10">
      <c r="A13" s="21" t="s">
        <v>134</v>
      </c>
      <c r="B13" s="1" t="str">
        <f>Narrative!H167</f>
        <v>ATEA Conference</v>
      </c>
      <c r="D13" s="86">
        <f ca="1">SUMIF('Budget Detail &amp; Amendments'!A:Q, 6, 'Budget Detail &amp; Amendments'!O:O)</f>
        <v>5105</v>
      </c>
      <c r="F13" s="87">
        <f ca="1">SUMIF('Budget Detail &amp; Amendments'!A:Q, 6, 'Budget Detail &amp; Amendments'!P:P)</f>
        <v>5730.2</v>
      </c>
      <c r="H13" s="86">
        <f ca="1">SUMIF('Budget Detail &amp; Amendments'!A:Q, 6, 'Budget Detail &amp; Amendments'!R:R)</f>
        <v>3254.39</v>
      </c>
      <c r="J13" s="86">
        <f ca="1">SUMIF('Budget Detail &amp; Amendments'!A:Q, 6, 'Budget Detail &amp; Amendments'!T:T)</f>
        <v>0</v>
      </c>
    </row>
    <row r="15" spans="1:10">
      <c r="A15" s="21" t="s">
        <v>135</v>
      </c>
      <c r="B15" s="1" t="e">
        <f>Narrative!#REF!</f>
        <v>#REF!</v>
      </c>
      <c r="D15" s="86">
        <f ca="1">SUMIF('Budget Detail &amp; Amendments'!A:Q, 7, 'Budget Detail &amp; Amendments'!O:O)</f>
        <v>0</v>
      </c>
      <c r="F15" s="87">
        <f ca="1">SUMIF('Budget Detail &amp; Amendments'!A:Q, 7, 'Budget Detail &amp; Amendments'!P:P)</f>
        <v>0</v>
      </c>
      <c r="H15" s="86">
        <f ca="1">SUMIF('Budget Detail &amp; Amendments'!A:Q, 7, 'Budget Detail &amp; Amendments'!R:R)</f>
        <v>179.88</v>
      </c>
      <c r="J15" s="86">
        <f ca="1">SUMIF('Budget Detail &amp; Amendments'!A:Q, 7, 'Budget Detail &amp; Amendments'!T:T)</f>
        <v>0</v>
      </c>
    </row>
    <row r="17" spans="1:10">
      <c r="A17" s="21" t="s">
        <v>136</v>
      </c>
      <c r="B17" s="1" t="str">
        <f>Narrative!H200</f>
        <v>Pathways Manager</v>
      </c>
      <c r="D17" s="86">
        <f ca="1">SUMIF('Budget Detail &amp; Amendments'!A:Q, 8, 'Budget Detail &amp; Amendments'!O:O)</f>
        <v>25925.84</v>
      </c>
      <c r="F17" s="87">
        <f ca="1">SUMIF('Budget Detail &amp; Amendments'!A:Q, 8, 'Budget Detail &amp; Amendments'!P:P)</f>
        <v>25925.84</v>
      </c>
      <c r="H17" s="86">
        <f ca="1">SUMIF('Budget Detail &amp; Amendments'!A:Q, 8, 'Budget Detail &amp; Amendments'!R:R)</f>
        <v>25039</v>
      </c>
      <c r="J17" s="86">
        <f ca="1">SUMIF('Budget Detail &amp; Amendments'!A:Q, 8, 'Budget Detail &amp; Amendments'!T:T)</f>
        <v>0</v>
      </c>
    </row>
    <row r="19" spans="1:10">
      <c r="A19" s="21" t="s">
        <v>137</v>
      </c>
      <c r="B19" s="1" t="str">
        <f>Narrative!H233</f>
        <v>Virtual Career Day</v>
      </c>
      <c r="D19" s="86">
        <f ca="1">SUMIF('Budget Detail &amp; Amendments'!A:Q, 9, 'Budget Detail &amp; Amendments'!O:O)</f>
        <v>0</v>
      </c>
      <c r="F19" s="87">
        <f ca="1">SUMIF('Budget Detail &amp; Amendments'!A:Q, 9, 'Budget Detail &amp; Amendments'!P:P)</f>
        <v>0</v>
      </c>
      <c r="H19" s="86">
        <f ca="1">SUMIF('Budget Detail &amp; Amendments'!A:Q, 9, 'Budget Detail &amp; Amendments'!R:R)</f>
        <v>0</v>
      </c>
      <c r="J19" s="86">
        <f ca="1">SUMIF('Budget Detail &amp; Amendments'!A:Q, 9, 'Budget Detail &amp; Amendments'!T:T)</f>
        <v>0</v>
      </c>
    </row>
    <row r="21" spans="1:10">
      <c r="A21" s="21" t="s">
        <v>138</v>
      </c>
      <c r="B21" s="1" t="str">
        <f>Narrative!H261</f>
        <v>(Optional: Project Title)</v>
      </c>
      <c r="D21" s="86">
        <f ca="1">SUMIF('Budget Detail &amp; Amendments'!A:Q, 10, 'Budget Detail &amp; Amendments'!O:O)</f>
        <v>0</v>
      </c>
      <c r="F21" s="87">
        <f ca="1">SUMIF('Budget Detail &amp; Amendments'!A:Q, 10, 'Budget Detail &amp; Amendments'!P:P)</f>
        <v>0</v>
      </c>
      <c r="H21" s="86">
        <f ca="1">SUMIF('Budget Detail &amp; Amendments'!A:Q, 10, 'Budget Detail &amp; Amendments'!R:R)</f>
        <v>0</v>
      </c>
      <c r="J21" s="86">
        <f ca="1">SUMIF('Budget Detail &amp; Amendments'!A:Q, 10, 'Budget Detail &amp; Amendments'!T:T)</f>
        <v>0</v>
      </c>
    </row>
    <row r="23" spans="1:10">
      <c r="A23" s="21" t="s">
        <v>139</v>
      </c>
      <c r="B23" s="1" t="str">
        <f>Narrative!H294</f>
        <v>(Optional: Project Title)</v>
      </c>
      <c r="D23" s="86">
        <f ca="1">SUMIF('Budget Detail &amp; Amendments'!A:Q, 11, 'Budget Detail &amp; Amendments'!O:O)</f>
        <v>0</v>
      </c>
      <c r="F23" s="87">
        <f ca="1">SUMIF('Budget Detail &amp; Amendments'!A:Q, 11, 'Budget Detail &amp; Amendments'!P:P)</f>
        <v>0</v>
      </c>
      <c r="H23" s="86">
        <f ca="1">SUMIF('Budget Detail &amp; Amendments'!A:Q, 11, 'Budget Detail &amp; Amendments'!R:R)</f>
        <v>0</v>
      </c>
      <c r="J23" s="86">
        <f ca="1">SUMIF('Budget Detail &amp; Amendments'!A:Q, 11, 'Budget Detail &amp; Amendments'!T:T)</f>
        <v>0</v>
      </c>
    </row>
    <row r="25" spans="1:10">
      <c r="A25" s="21" t="s">
        <v>140</v>
      </c>
      <c r="B25" s="1" t="str">
        <f>Narrative!H327</f>
        <v>(Optional: Project Title)</v>
      </c>
      <c r="D25" s="86">
        <f ca="1">SUMIF('Budget Detail &amp; Amendments'!A:Q, 12, 'Budget Detail &amp; Amendments'!O:O)</f>
        <v>0</v>
      </c>
      <c r="F25" s="87">
        <f ca="1">SUMIF('Budget Detail &amp; Amendments'!A:Q, 12, 'Budget Detail &amp; Amendments'!P:P)</f>
        <v>0</v>
      </c>
      <c r="H25" s="86">
        <f ca="1">SUMIF('Budget Detail &amp; Amendments'!A:Q, 12, 'Budget Detail &amp; Amendments'!R:R)</f>
        <v>0</v>
      </c>
      <c r="J25" s="86">
        <f ca="1">SUMIF('Budget Detail &amp; Amendments'!A:Q, 12, 'Budget Detail &amp; Amendments'!T:T)</f>
        <v>0</v>
      </c>
    </row>
    <row r="27" spans="1:10">
      <c r="A27" s="21" t="s">
        <v>141</v>
      </c>
      <c r="B27" s="1" t="str">
        <f>Narrative!H360</f>
        <v>(Optional: Project Title)</v>
      </c>
      <c r="D27" s="86">
        <f ca="1">SUMIF('Budget Detail &amp; Amendments'!A:Q, 13, 'Budget Detail &amp; Amendments'!O:O)</f>
        <v>0</v>
      </c>
      <c r="F27" s="87">
        <f ca="1">SUMIF('Budget Detail &amp; Amendments'!A:Q, 13, 'Budget Detail &amp; Amendments'!P:P)</f>
        <v>0</v>
      </c>
      <c r="H27" s="86">
        <f ca="1">SUMIF('Budget Detail &amp; Amendments'!A:Q, 13, 'Budget Detail &amp; Amendments'!R:R)</f>
        <v>0</v>
      </c>
      <c r="J27" s="86">
        <f ca="1">SUMIF('Budget Detail &amp; Amendments'!A:Q, 13, 'Budget Detail &amp; Amendments'!T:T)</f>
        <v>0</v>
      </c>
    </row>
    <row r="29" spans="1:10">
      <c r="A29" s="21" t="s">
        <v>142</v>
      </c>
      <c r="B29" s="1" t="str">
        <f>Narrative!H393</f>
        <v>(Optional: Project Title)</v>
      </c>
      <c r="D29" s="86">
        <f ca="1">SUMIF('Budget Detail &amp; Amendments'!A:Q, 14, 'Budget Detail &amp; Amendments'!O:O)</f>
        <v>0</v>
      </c>
      <c r="F29" s="87">
        <f ca="1">SUMIF('Budget Detail &amp; Amendments'!A:Q, 14, 'Budget Detail &amp; Amendments'!P:P)</f>
        <v>0</v>
      </c>
      <c r="H29" s="86">
        <f ca="1">SUMIF('Budget Detail &amp; Amendments'!A:Q, 14, 'Budget Detail &amp; Amendments'!R:R)</f>
        <v>0</v>
      </c>
      <c r="J29" s="86">
        <f ca="1">SUMIF('Budget Detail &amp; Amendments'!A:Q, 14, 'Budget Detail &amp; Amendments'!T:T)</f>
        <v>0</v>
      </c>
    </row>
    <row r="31" spans="1:10">
      <c r="A31" s="21" t="s">
        <v>143</v>
      </c>
      <c r="B31" s="1" t="str">
        <f>Narrative!H426</f>
        <v>(Optional: Project Title)</v>
      </c>
      <c r="D31" s="86">
        <f ca="1">SUMIF('Budget Detail &amp; Amendments'!A:Q, 15, 'Budget Detail &amp; Amendments'!O:O)</f>
        <v>0</v>
      </c>
      <c r="F31" s="87">
        <f ca="1">SUMIF('Budget Detail &amp; Amendments'!A:Q, 15, 'Budget Detail &amp; Amendments'!P:P)</f>
        <v>0</v>
      </c>
      <c r="H31" s="86">
        <f ca="1">SUMIF('Budget Detail &amp; Amendments'!A:Q, 15, 'Budget Detail &amp; Amendments'!R:R)</f>
        <v>0</v>
      </c>
      <c r="J31" s="86">
        <f ca="1">SUMIF('Budget Detail &amp; Amendments'!A:Q, 15, 'Budget Detail &amp; Amendments'!T:T)</f>
        <v>0</v>
      </c>
    </row>
    <row r="33" spans="1:10">
      <c r="A33" s="21" t="s">
        <v>144</v>
      </c>
      <c r="B33" s="1" t="e">
        <f>Narrative!#REF!</f>
        <v>#REF!</v>
      </c>
      <c r="D33" s="86">
        <f ca="1">SUMIF('Budget Detail &amp; Amendments'!A:Q, 16, 'Budget Detail &amp; Amendments'!O:O)</f>
        <v>0</v>
      </c>
      <c r="F33" s="87">
        <f ca="1">SUMIF('Budget Detail &amp; Amendments'!A:Q, 16, 'Budget Detail &amp; Amendments'!P:P)</f>
        <v>0</v>
      </c>
      <c r="H33" s="86">
        <f ca="1">SUMIF('Budget Detail &amp; Amendments'!A:Q, 16, 'Budget Detail &amp; Amendments'!R:R)</f>
        <v>0</v>
      </c>
      <c r="J33" s="86">
        <f ca="1">SUMIF('Budget Detail &amp; Amendments'!A:Q, 16, 'Budget Detail &amp; Amendments'!T:T)</f>
        <v>0</v>
      </c>
    </row>
    <row r="35" spans="1:10">
      <c r="A35" s="21" t="s">
        <v>145</v>
      </c>
      <c r="B35" s="1" t="e">
        <f>Narrative!#REF!</f>
        <v>#REF!</v>
      </c>
      <c r="D35" s="86">
        <f ca="1">SUMIF('Budget Detail &amp; Amendments'!A:Q, 17, 'Budget Detail &amp; Amendments'!O:O)</f>
        <v>0</v>
      </c>
      <c r="F35" s="87">
        <f ca="1">SUMIF('Budget Detail &amp; Amendments'!A:Q, 17, 'Budget Detail &amp; Amendments'!P:P)</f>
        <v>0</v>
      </c>
      <c r="H35" s="86">
        <f ca="1">SUMIF('Budget Detail &amp; Amendments'!A:Q, 17, 'Budget Detail &amp; Amendments'!R:R)</f>
        <v>0</v>
      </c>
      <c r="J35" s="86">
        <f ca="1">SUMIF('Budget Detail &amp; Amendments'!A:Q, 17, 'Budget Detail &amp; Amendments'!T:T)</f>
        <v>0</v>
      </c>
    </row>
    <row r="37" spans="1:10">
      <c r="A37" s="21" t="s">
        <v>146</v>
      </c>
      <c r="B37" s="1" t="e">
        <f>Narrative!#REF!</f>
        <v>#REF!</v>
      </c>
      <c r="D37" s="86">
        <f ca="1">SUMIF('Budget Detail &amp; Amendments'!A:Q, 18, 'Budget Detail &amp; Amendments'!O:O)</f>
        <v>0</v>
      </c>
      <c r="F37" s="87">
        <f ca="1">SUMIF('Budget Detail &amp; Amendments'!A:Q, 18, 'Budget Detail &amp; Amendments'!P:P)</f>
        <v>0</v>
      </c>
      <c r="H37" s="86">
        <f ca="1">SUMIF('Budget Detail &amp; Amendments'!A:Q, 18, 'Budget Detail &amp; Amendments'!R:R)</f>
        <v>0</v>
      </c>
      <c r="J37" s="86">
        <f ca="1">SUMIF('Budget Detail &amp; Amendments'!A:Q, 18, 'Budget Detail &amp; Amendments'!T:T)</f>
        <v>0</v>
      </c>
    </row>
    <row r="39" spans="1:10">
      <c r="A39" s="21" t="s">
        <v>147</v>
      </c>
      <c r="B39" s="1" t="e">
        <f>Narrative!#REF!</f>
        <v>#REF!</v>
      </c>
      <c r="D39" s="86">
        <f ca="1">SUMIF('Budget Detail &amp; Amendments'!A:Q, 19, 'Budget Detail &amp; Amendments'!O:O)</f>
        <v>0</v>
      </c>
      <c r="F39" s="87">
        <f ca="1">SUMIF('Budget Detail &amp; Amendments'!A:Q, 19, 'Budget Detail &amp; Amendments'!P:P)</f>
        <v>0</v>
      </c>
      <c r="H39" s="86">
        <f ca="1">SUMIF('Budget Detail &amp; Amendments'!A:Q, 19, 'Budget Detail &amp; Amendments'!R:R)</f>
        <v>0</v>
      </c>
      <c r="J39" s="86">
        <f ca="1">SUMIF('Budget Detail &amp; Amendments'!A:Q, 19, 'Budget Detail &amp; Amendments'!T:T)</f>
        <v>0</v>
      </c>
    </row>
    <row r="41" spans="1:10">
      <c r="A41" s="21" t="s">
        <v>148</v>
      </c>
      <c r="B41" s="1" t="e">
        <f>Narrative!#REF!</f>
        <v>#REF!</v>
      </c>
      <c r="D41" s="86">
        <f ca="1">SUMIF('Budget Detail &amp; Amendments'!A:Q, 20, 'Budget Detail &amp; Amendments'!O:O)</f>
        <v>0</v>
      </c>
      <c r="F41" s="87">
        <f ca="1">SUMIF('Budget Detail &amp; Amendments'!A:Q, 20, 'Budget Detail &amp; Amendments'!P:P)</f>
        <v>0</v>
      </c>
      <c r="H41" s="86">
        <f ca="1">SUMIF('Budget Detail &amp; Amendments'!A:Q, 20, 'Budget Detail &amp; Amendments'!R:R)</f>
        <v>0</v>
      </c>
      <c r="J41" s="86">
        <f ca="1">SUMIF('Budget Detail &amp; Amendments'!A:Q, 20, 'Budget Detail &amp; Amendments'!T:T)</f>
        <v>0</v>
      </c>
    </row>
    <row r="43" spans="1:10">
      <c r="A43" s="21" t="s">
        <v>149</v>
      </c>
      <c r="B43" s="1" t="e">
        <f>Narrative!#REF!</f>
        <v>#REF!</v>
      </c>
      <c r="D43" s="86">
        <f ca="1">SUMIF('Budget Detail &amp; Amendments'!A:Q, 21, 'Budget Detail &amp; Amendments'!O:O)</f>
        <v>0</v>
      </c>
      <c r="F43" s="87">
        <f ca="1">SUMIF('Budget Detail &amp; Amendments'!A:Q, 21, 'Budget Detail &amp; Amendments'!P:P)</f>
        <v>0</v>
      </c>
      <c r="H43" s="86">
        <f ca="1">SUMIF('Budget Detail &amp; Amendments'!A:Q, 21, 'Budget Detail &amp; Amendments'!R:R)</f>
        <v>0</v>
      </c>
      <c r="J43" s="86">
        <f ca="1">SUMIF('Budget Detail &amp; Amendments'!A:Q, 21, 'Budget Detail &amp; Amendments'!T:T)</f>
        <v>0</v>
      </c>
    </row>
    <row r="45" spans="1:10">
      <c r="A45" s="21" t="s">
        <v>150</v>
      </c>
      <c r="B45" s="1" t="e">
        <f>Narrative!#REF!</f>
        <v>#REF!</v>
      </c>
      <c r="D45" s="86">
        <f ca="1">SUMIF('Budget Detail &amp; Amendments'!A:Q, 22, 'Budget Detail &amp; Amendments'!O:O)</f>
        <v>0</v>
      </c>
      <c r="F45" s="87">
        <f ca="1">SUMIF('Budget Detail &amp; Amendments'!A:Q, 22, 'Budget Detail &amp; Amendments'!P:P)</f>
        <v>0</v>
      </c>
      <c r="H45" s="86">
        <f ca="1">SUMIF('Budget Detail &amp; Amendments'!A:Q, 22, 'Budget Detail &amp; Amendments'!R:R)</f>
        <v>0</v>
      </c>
      <c r="J45" s="86">
        <f ca="1">SUMIF('Budget Detail &amp; Amendments'!A:Q, 22, 'Budget Detail &amp; Amendments'!T:T)</f>
        <v>0</v>
      </c>
    </row>
    <row r="47" spans="1:10">
      <c r="A47" s="21" t="s">
        <v>151</v>
      </c>
      <c r="B47" s="1" t="e">
        <f>Narrative!#REF!</f>
        <v>#REF!</v>
      </c>
      <c r="D47" s="86">
        <f ca="1">SUMIF('Budget Detail &amp; Amendments'!A:Q, 23, 'Budget Detail &amp; Amendments'!O:O)</f>
        <v>0</v>
      </c>
      <c r="F47" s="87">
        <f ca="1">SUMIF('Budget Detail &amp; Amendments'!A:Q, 23, 'Budget Detail &amp; Amendments'!P:P)</f>
        <v>0</v>
      </c>
      <c r="H47" s="86">
        <f ca="1">SUMIF('Budget Detail &amp; Amendments'!A:Q, 23, 'Budget Detail &amp; Amendments'!R:R)</f>
        <v>0</v>
      </c>
      <c r="J47" s="86">
        <f ca="1">SUMIF('Budget Detail &amp; Amendments'!A:Q, 23, 'Budget Detail &amp; Amendments'!T:T)</f>
        <v>0</v>
      </c>
    </row>
    <row r="49" spans="1:10">
      <c r="A49" s="21" t="s">
        <v>152</v>
      </c>
      <c r="B49" s="1" t="e">
        <f>Narrative!#REF!</f>
        <v>#REF!</v>
      </c>
      <c r="D49" s="86">
        <f ca="1">SUMIF('Budget Detail &amp; Amendments'!A:Q, 24, 'Budget Detail &amp; Amendments'!O:O)</f>
        <v>0</v>
      </c>
      <c r="F49" s="87">
        <f ca="1">SUMIF('Budget Detail &amp; Amendments'!A:Q, 24, 'Budget Detail &amp; Amendments'!P:P)</f>
        <v>0</v>
      </c>
      <c r="H49" s="86">
        <f ca="1">SUMIF('Budget Detail &amp; Amendments'!A:Q, 24, 'Budget Detail &amp; Amendments'!R:R)</f>
        <v>0</v>
      </c>
      <c r="J49" s="86">
        <f ca="1">SUMIF('Budget Detail &amp; Amendments'!A:Q, 24, 'Budget Detail &amp; Amendments'!T:T)</f>
        <v>0</v>
      </c>
    </row>
    <row r="51" spans="1:10">
      <c r="A51" s="21" t="s">
        <v>153</v>
      </c>
      <c r="B51" s="1" t="e">
        <f>Narrative!#REF!</f>
        <v>#REF!</v>
      </c>
      <c r="D51" s="86">
        <f ca="1">SUMIF('Budget Detail &amp; Amendments'!A:Q, 25, 'Budget Detail &amp; Amendments'!O:O)</f>
        <v>0</v>
      </c>
      <c r="F51" s="87">
        <f ca="1">SUMIF('Budget Detail &amp; Amendments'!A:Q, 25, 'Budget Detail &amp; Amendments'!P:P)</f>
        <v>0</v>
      </c>
      <c r="H51" s="86">
        <f ca="1">SUMIF('Budget Detail &amp; Amendments'!A:Q, 25, 'Budget Detail &amp; Amendments'!R:R)</f>
        <v>0</v>
      </c>
      <c r="J51" s="86">
        <f ca="1">SUMIF('Budget Detail &amp; Amendments'!A:Q, 25, 'Budget Detail &amp; Amendments'!T:T)</f>
        <v>0</v>
      </c>
    </row>
    <row r="53" spans="1:10">
      <c r="A53" s="21" t="s">
        <v>154</v>
      </c>
      <c r="B53" s="1" t="e">
        <f>Narrative!#REF!</f>
        <v>#REF!</v>
      </c>
      <c r="D53" s="86">
        <f ca="1">SUMIF('Budget Detail &amp; Amendments'!A:Q, 26, 'Budget Detail &amp; Amendments'!O:O)</f>
        <v>0</v>
      </c>
      <c r="F53" s="87">
        <f ca="1">SUMIF('Budget Detail &amp; Amendments'!A:Q, 26, 'Budget Detail &amp; Amendments'!P:P)</f>
        <v>0</v>
      </c>
      <c r="H53" s="86">
        <f ca="1">SUMIF('Budget Detail &amp; Amendments'!A:Q, 26, 'Budget Detail &amp; Amendments'!R:R)</f>
        <v>0</v>
      </c>
      <c r="J53" s="86">
        <f ca="1">SUMIF('Budget Detail &amp; Amendments'!A:Q, 26, 'Budget Detail &amp; Amendments'!T:T)</f>
        <v>0</v>
      </c>
    </row>
    <row r="55" spans="1:10">
      <c r="A55" s="21" t="s">
        <v>155</v>
      </c>
      <c r="B55" s="1" t="e">
        <f>Narrative!#REF!</f>
        <v>#REF!</v>
      </c>
      <c r="D55" s="86">
        <f ca="1">SUMIF('Budget Detail &amp; Amendments'!A:Q, 27, 'Budget Detail &amp; Amendments'!O:O)</f>
        <v>0</v>
      </c>
      <c r="F55" s="87">
        <f ca="1">SUMIF('Budget Detail &amp; Amendments'!A:Q, 27, 'Budget Detail &amp; Amendments'!P:P)</f>
        <v>0</v>
      </c>
      <c r="H55" s="86">
        <f ca="1">SUMIF('Budget Detail &amp; Amendments'!A:Q, 27, 'Budget Detail &amp; Amendments'!R:R)</f>
        <v>0</v>
      </c>
      <c r="J55" s="86">
        <f ca="1">SUMIF('Budget Detail &amp; Amendments'!A:Q, 27, 'Budget Detail &amp; Amendments'!T:T)</f>
        <v>0</v>
      </c>
    </row>
    <row r="57" spans="1:10">
      <c r="A57" s="21" t="s">
        <v>156</v>
      </c>
      <c r="B57" s="1" t="e">
        <f>Narrative!#REF!</f>
        <v>#REF!</v>
      </c>
      <c r="D57" s="86">
        <f ca="1">SUMIF('Budget Detail &amp; Amendments'!A:Q, 28, 'Budget Detail &amp; Amendments'!O:O)</f>
        <v>0</v>
      </c>
      <c r="F57" s="87">
        <f ca="1">SUMIF('Budget Detail &amp; Amendments'!A:Q, 28, 'Budget Detail &amp; Amendments'!P:P)</f>
        <v>0</v>
      </c>
      <c r="H57" s="86">
        <f ca="1">SUMIF('Budget Detail &amp; Amendments'!A:Q, 28, 'Budget Detail &amp; Amendments'!R:R)</f>
        <v>0</v>
      </c>
      <c r="J57" s="86">
        <f ca="1">SUMIF('Budget Detail &amp; Amendments'!A:Q, 28, 'Budget Detail &amp; Amendments'!T:T)</f>
        <v>0</v>
      </c>
    </row>
    <row r="59" spans="1:10">
      <c r="A59" s="21" t="s">
        <v>157</v>
      </c>
      <c r="B59" s="1" t="e">
        <f>Narrative!#REF!</f>
        <v>#REF!</v>
      </c>
      <c r="D59" s="86">
        <f ca="1">SUMIF('Budget Detail &amp; Amendments'!A:Q, 29, 'Budget Detail &amp; Amendments'!O:O)</f>
        <v>0</v>
      </c>
      <c r="F59" s="87">
        <f ca="1">SUMIF('Budget Detail &amp; Amendments'!A:Q, 29, 'Budget Detail &amp; Amendments'!P:P)</f>
        <v>0</v>
      </c>
      <c r="H59" s="86">
        <f ca="1">SUMIF('Budget Detail &amp; Amendments'!A:Q, 29, 'Budget Detail &amp; Amendments'!R:R)</f>
        <v>0</v>
      </c>
      <c r="J59" s="86">
        <f ca="1">SUMIF('Budget Detail &amp; Amendments'!A:Q, 29, 'Budget Detail &amp; Amendments'!T:T)</f>
        <v>0</v>
      </c>
    </row>
    <row r="61" spans="1:10">
      <c r="A61" s="21" t="s">
        <v>158</v>
      </c>
      <c r="B61" s="1" t="e">
        <f>Narrative!#REF!</f>
        <v>#REF!</v>
      </c>
      <c r="D61" s="86">
        <f ca="1">SUMIF('Budget Detail &amp; Amendments'!A:Q, 30, 'Budget Detail &amp; Amendments'!O:O)</f>
        <v>0</v>
      </c>
      <c r="F61" s="87">
        <f ca="1">SUMIF('Budget Detail &amp; Amendments'!A:Q, 30, 'Budget Detail &amp; Amendments'!P:P)</f>
        <v>0</v>
      </c>
      <c r="H61" s="86">
        <f ca="1">SUMIF('Budget Detail &amp; Amendments'!A:Q, 30, 'Budget Detail &amp; Amendments'!R:R)</f>
        <v>0</v>
      </c>
      <c r="J61" s="86">
        <f ca="1">SUMIF('Budget Detail &amp; Amendments'!A:Q, 30, 'Budget Detail &amp; Amendments'!T:T)</f>
        <v>0</v>
      </c>
    </row>
    <row r="63" spans="1:10">
      <c r="A63" s="21" t="s">
        <v>159</v>
      </c>
      <c r="B63" s="1" t="e">
        <f>Narrative!#REF!</f>
        <v>#REF!</v>
      </c>
      <c r="D63" s="86">
        <f ca="1">SUMIF('Budget Detail &amp; Amendments'!A:Q, 31, 'Budget Detail &amp; Amendments'!O:O)</f>
        <v>0</v>
      </c>
      <c r="F63" s="87">
        <f ca="1">SUMIF('Budget Detail &amp; Amendments'!A:Q, 31, 'Budget Detail &amp; Amendments'!P:P)</f>
        <v>0</v>
      </c>
      <c r="H63" s="86">
        <f ca="1">SUMIF('Budget Detail &amp; Amendments'!A:Q, 31, 'Budget Detail &amp; Amendments'!R:R)</f>
        <v>0</v>
      </c>
      <c r="J63" s="86">
        <f ca="1">SUMIF('Budget Detail &amp; Amendments'!A:Q, 31, 'Budget Detail &amp; Amendments'!T:T)</f>
        <v>0</v>
      </c>
    </row>
    <row r="65" spans="1:10">
      <c r="A65" s="21" t="s">
        <v>160</v>
      </c>
      <c r="B65" s="1" t="e">
        <f>Narrative!#REF!</f>
        <v>#REF!</v>
      </c>
      <c r="D65" s="86">
        <f ca="1">SUMIF('Budget Detail &amp; Amendments'!A:Q, 32, 'Budget Detail &amp; Amendments'!O:O)</f>
        <v>0</v>
      </c>
      <c r="F65" s="87">
        <f ca="1">SUMIF('Budget Detail &amp; Amendments'!A:Q, 32, 'Budget Detail &amp; Amendments'!P:P)</f>
        <v>0</v>
      </c>
      <c r="H65" s="86">
        <f ca="1">SUMIF('Budget Detail &amp; Amendments'!A:Q, 32, 'Budget Detail &amp; Amendments'!R:R)</f>
        <v>0</v>
      </c>
      <c r="J65" s="86">
        <f ca="1">SUMIF('Budget Detail &amp; Amendments'!A:Q, 32, 'Budget Detail &amp; Amendments'!T:T)</f>
        <v>0</v>
      </c>
    </row>
    <row r="67" spans="1:10">
      <c r="A67" s="21" t="s">
        <v>161</v>
      </c>
      <c r="B67" s="1" t="e">
        <f>Narrative!#REF!</f>
        <v>#REF!</v>
      </c>
      <c r="D67" s="86">
        <f ca="1">SUMIF('Budget Detail &amp; Amendments'!A:Q, 33, 'Budget Detail &amp; Amendments'!O:O)</f>
        <v>0</v>
      </c>
      <c r="F67" s="87">
        <f ca="1">SUMIF('Budget Detail &amp; Amendments'!A:Q, 33, 'Budget Detail &amp; Amendments'!P:P)</f>
        <v>0</v>
      </c>
      <c r="H67" s="86">
        <f ca="1">SUMIF('Budget Detail &amp; Amendments'!A:Q, 33, 'Budget Detail &amp; Amendments'!R:R)</f>
        <v>0</v>
      </c>
      <c r="J67" s="86">
        <f ca="1">SUMIF('Budget Detail &amp; Amendments'!A:Q, 33, 'Budget Detail &amp; Amendments'!T:T)</f>
        <v>0</v>
      </c>
    </row>
    <row r="69" spans="1:10">
      <c r="A69" s="21" t="s">
        <v>162</v>
      </c>
      <c r="B69" s="1" t="e">
        <f>Narrative!#REF!</f>
        <v>#REF!</v>
      </c>
      <c r="D69" s="86">
        <f ca="1">SUMIF('Budget Detail &amp; Amendments'!A:Q, 34, 'Budget Detail &amp; Amendments'!O:O)</f>
        <v>0</v>
      </c>
      <c r="F69" s="87">
        <f ca="1">SUMIF('Budget Detail &amp; Amendments'!A:Q, 34, 'Budget Detail &amp; Amendments'!P:P)</f>
        <v>0</v>
      </c>
      <c r="H69" s="86">
        <f ca="1">SUMIF('Budget Detail &amp; Amendments'!A:Q, 34, 'Budget Detail &amp; Amendments'!R:R)</f>
        <v>0</v>
      </c>
      <c r="J69" s="86">
        <f ca="1">SUMIF('Budget Detail &amp; Amendments'!A:Q, 34, 'Budget Detail &amp; Amendments'!T:T)</f>
        <v>0</v>
      </c>
    </row>
    <row r="71" spans="1:10">
      <c r="A71" s="21" t="s">
        <v>163</v>
      </c>
      <c r="B71" s="1" t="e">
        <f>Narrative!#REF!</f>
        <v>#REF!</v>
      </c>
      <c r="D71" s="86">
        <f ca="1">SUMIF('Budget Detail &amp; Amendments'!A:Q, 35, 'Budget Detail &amp; Amendments'!O:O)</f>
        <v>0</v>
      </c>
      <c r="F71" s="87">
        <f ca="1">SUMIF('Budget Detail &amp; Amendments'!A:Q, 35, 'Budget Detail &amp; Amendments'!P:P)</f>
        <v>0</v>
      </c>
      <c r="H71" s="86">
        <f ca="1">SUMIF('Budget Detail &amp; Amendments'!A:Q, 35, 'Budget Detail &amp; Amendments'!R:R)</f>
        <v>0</v>
      </c>
      <c r="J71" s="86">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A2" sqref="A2:Y26"/>
    </sheetView>
  </sheetViews>
  <sheetFormatPr defaultColWidth="8.81640625" defaultRowHeight="14.5"/>
  <sheetData>
    <row r="2" spans="1:25" ht="15.75" customHeight="1">
      <c r="A2" s="372" t="s">
        <v>190</v>
      </c>
      <c r="B2" s="372"/>
      <c r="C2" s="372"/>
      <c r="D2" s="372"/>
      <c r="E2" s="372"/>
      <c r="F2" s="372"/>
      <c r="G2" s="372"/>
      <c r="H2" s="372"/>
      <c r="I2" s="372"/>
      <c r="J2" s="372"/>
      <c r="K2" s="372"/>
      <c r="L2" s="372"/>
      <c r="M2" s="372"/>
      <c r="N2" s="372"/>
      <c r="O2" s="372"/>
      <c r="P2" s="372"/>
      <c r="Q2" s="372"/>
      <c r="R2" s="372"/>
      <c r="S2" s="372"/>
      <c r="T2" s="372"/>
      <c r="U2" s="372"/>
      <c r="V2" s="372"/>
      <c r="W2" s="372"/>
      <c r="X2" s="372"/>
      <c r="Y2" s="372"/>
    </row>
    <row r="3" spans="1:25" ht="1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row>
    <row r="4" spans="1:25" ht="15" customHeight="1">
      <c r="A4" s="372"/>
      <c r="B4" s="372"/>
      <c r="C4" s="372"/>
      <c r="D4" s="372"/>
      <c r="E4" s="372"/>
      <c r="F4" s="372"/>
      <c r="G4" s="372"/>
      <c r="H4" s="372"/>
      <c r="I4" s="372"/>
      <c r="J4" s="372"/>
      <c r="K4" s="372"/>
      <c r="L4" s="372"/>
      <c r="M4" s="372"/>
      <c r="N4" s="372"/>
      <c r="O4" s="372"/>
      <c r="P4" s="372"/>
      <c r="Q4" s="372"/>
      <c r="R4" s="372"/>
      <c r="S4" s="372"/>
      <c r="T4" s="372"/>
      <c r="U4" s="372"/>
      <c r="V4" s="372"/>
      <c r="W4" s="372"/>
      <c r="X4" s="372"/>
      <c r="Y4" s="372"/>
    </row>
    <row r="5" spans="1:25" ht="15" customHeight="1">
      <c r="A5" s="372"/>
      <c r="B5" s="372"/>
      <c r="C5" s="372"/>
      <c r="D5" s="372"/>
      <c r="E5" s="372"/>
      <c r="F5" s="372"/>
      <c r="G5" s="372"/>
      <c r="H5" s="372"/>
      <c r="I5" s="372"/>
      <c r="J5" s="372"/>
      <c r="K5" s="372"/>
      <c r="L5" s="372"/>
      <c r="M5" s="372"/>
      <c r="N5" s="372"/>
      <c r="O5" s="372"/>
      <c r="P5" s="372"/>
      <c r="Q5" s="372"/>
      <c r="R5" s="372"/>
      <c r="S5" s="372"/>
      <c r="T5" s="372"/>
      <c r="U5" s="372"/>
      <c r="V5" s="372"/>
      <c r="W5" s="372"/>
      <c r="X5" s="372"/>
      <c r="Y5" s="372"/>
    </row>
    <row r="6" spans="1:25" ht="15" customHeight="1">
      <c r="A6" s="372"/>
      <c r="B6" s="372"/>
      <c r="C6" s="372"/>
      <c r="D6" s="372"/>
      <c r="E6" s="372"/>
      <c r="F6" s="372"/>
      <c r="G6" s="372"/>
      <c r="H6" s="372"/>
      <c r="I6" s="372"/>
      <c r="J6" s="372"/>
      <c r="K6" s="372"/>
      <c r="L6" s="372"/>
      <c r="M6" s="372"/>
      <c r="N6" s="372"/>
      <c r="O6" s="372"/>
      <c r="P6" s="372"/>
      <c r="Q6" s="372"/>
      <c r="R6" s="372"/>
      <c r="S6" s="372"/>
      <c r="T6" s="372"/>
      <c r="U6" s="372"/>
      <c r="V6" s="372"/>
      <c r="W6" s="372"/>
      <c r="X6" s="372"/>
      <c r="Y6" s="372"/>
    </row>
    <row r="7" spans="1:25" ht="15" customHeight="1">
      <c r="A7" s="372"/>
      <c r="B7" s="372"/>
      <c r="C7" s="372"/>
      <c r="D7" s="372"/>
      <c r="E7" s="372"/>
      <c r="F7" s="372"/>
      <c r="G7" s="372"/>
      <c r="H7" s="372"/>
      <c r="I7" s="372"/>
      <c r="J7" s="372"/>
      <c r="K7" s="372"/>
      <c r="L7" s="372"/>
      <c r="M7" s="372"/>
      <c r="N7" s="372"/>
      <c r="O7" s="372"/>
      <c r="P7" s="372"/>
      <c r="Q7" s="372"/>
      <c r="R7" s="372"/>
      <c r="S7" s="372"/>
      <c r="T7" s="372"/>
      <c r="U7" s="372"/>
      <c r="V7" s="372"/>
      <c r="W7" s="372"/>
      <c r="X7" s="372"/>
      <c r="Y7" s="372"/>
    </row>
    <row r="8" spans="1:25" ht="15" customHeight="1">
      <c r="A8" s="372"/>
      <c r="B8" s="372"/>
      <c r="C8" s="372"/>
      <c r="D8" s="372"/>
      <c r="E8" s="372"/>
      <c r="F8" s="372"/>
      <c r="G8" s="372"/>
      <c r="H8" s="372"/>
      <c r="I8" s="372"/>
      <c r="J8" s="372"/>
      <c r="K8" s="372"/>
      <c r="L8" s="372"/>
      <c r="M8" s="372"/>
      <c r="N8" s="372"/>
      <c r="O8" s="372"/>
      <c r="P8" s="372"/>
      <c r="Q8" s="372"/>
      <c r="R8" s="372"/>
      <c r="S8" s="372"/>
      <c r="T8" s="372"/>
      <c r="U8" s="372"/>
      <c r="V8" s="372"/>
      <c r="W8" s="372"/>
      <c r="X8" s="372"/>
      <c r="Y8" s="372"/>
    </row>
    <row r="9" spans="1:25" ht="15" customHeight="1">
      <c r="A9" s="372"/>
      <c r="B9" s="372"/>
      <c r="C9" s="372"/>
      <c r="D9" s="372"/>
      <c r="E9" s="372"/>
      <c r="F9" s="372"/>
      <c r="G9" s="372"/>
      <c r="H9" s="372"/>
      <c r="I9" s="372"/>
      <c r="J9" s="372"/>
      <c r="K9" s="372"/>
      <c r="L9" s="372"/>
      <c r="M9" s="372"/>
      <c r="N9" s="372"/>
      <c r="O9" s="372"/>
      <c r="P9" s="372"/>
      <c r="Q9" s="372"/>
      <c r="R9" s="372"/>
      <c r="S9" s="372"/>
      <c r="T9" s="372"/>
      <c r="U9" s="372"/>
      <c r="V9" s="372"/>
      <c r="W9" s="372"/>
      <c r="X9" s="372"/>
      <c r="Y9" s="372"/>
    </row>
    <row r="10" spans="1:25" ht="15" customHeight="1">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row>
    <row r="11" spans="1:25" ht="15" customHeight="1">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row>
    <row r="12" spans="1:25" ht="15"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row>
    <row r="13" spans="1:25" ht="1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row>
    <row r="14" spans="1:25" ht="15" customHeight="1">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row>
    <row r="15" spans="1:25" ht="15" customHeight="1">
      <c r="A15" s="372"/>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row>
    <row r="16" spans="1:25" ht="15" customHeight="1">
      <c r="A16" s="372"/>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row>
    <row r="17" spans="1:25" ht="15" customHeight="1">
      <c r="A17" s="372"/>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row>
    <row r="18" spans="1:25" ht="15" customHeight="1">
      <c r="A18" s="372"/>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row>
    <row r="19" spans="1:25" ht="15" customHeight="1">
      <c r="A19" s="372"/>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row>
    <row r="20" spans="1:25" ht="15" customHeight="1">
      <c r="A20" s="372"/>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row>
    <row r="21" spans="1:25" ht="15" customHeight="1">
      <c r="A21" s="372"/>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row>
    <row r="22" spans="1:25" ht="15" customHeight="1">
      <c r="A22" s="372"/>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row>
    <row r="23" spans="1:25" ht="15" customHeight="1">
      <c r="A23" s="372"/>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row>
    <row r="24" spans="1:25" ht="15" customHeight="1">
      <c r="A24" s="372"/>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row>
    <row r="25" spans="1:25" ht="15" customHeight="1">
      <c r="A25" s="372"/>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row>
    <row r="26" spans="1:25" ht="15" customHeight="1">
      <c r="A26" s="372"/>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topLeftCell="A25" zoomScaleNormal="100" workbookViewId="0">
      <selection activeCell="AA51" sqref="AA51"/>
    </sheetView>
  </sheetViews>
  <sheetFormatPr defaultColWidth="9.1796875" defaultRowHeight="12.5"/>
  <cols>
    <col min="1" max="1" width="3.1796875" style="72" customWidth="1"/>
    <col min="2" max="8" width="3.81640625" style="72" customWidth="1"/>
    <col min="9" max="9" width="1.81640625" style="72" customWidth="1"/>
    <col min="10" max="10" width="8.453125" style="73" bestFit="1" customWidth="1"/>
    <col min="11" max="11" width="32" style="72" bestFit="1" customWidth="1"/>
    <col min="12" max="12" width="4.81640625" style="72" customWidth="1"/>
    <col min="13" max="19" width="3.81640625" style="72" customWidth="1"/>
    <col min="20" max="20" width="1.81640625" style="72" customWidth="1"/>
    <col min="21" max="21" width="4.453125" style="72" customWidth="1"/>
    <col min="22" max="22" width="30.7265625" style="72" bestFit="1" customWidth="1"/>
    <col min="23" max="23" width="2.81640625" style="72" customWidth="1"/>
    <col min="24" max="24" width="3.1796875" style="72" customWidth="1"/>
    <col min="25" max="25" width="7.81640625" style="72" customWidth="1"/>
    <col min="26" max="16384" width="9.1796875" style="72"/>
  </cols>
  <sheetData>
    <row r="1" spans="1:28" ht="18">
      <c r="A1" s="385" t="s">
        <v>191</v>
      </c>
      <c r="B1" s="385"/>
      <c r="C1" s="385"/>
      <c r="D1" s="385"/>
      <c r="E1" s="385"/>
      <c r="F1" s="385"/>
      <c r="G1" s="385"/>
      <c r="H1" s="385"/>
      <c r="I1" s="385"/>
      <c r="J1" s="385"/>
      <c r="K1" s="385"/>
      <c r="L1" s="138"/>
      <c r="M1" s="138"/>
      <c r="N1" s="138"/>
      <c r="O1" s="138"/>
      <c r="P1" s="138"/>
      <c r="Q1" s="138"/>
      <c r="R1" s="138"/>
      <c r="S1" s="138"/>
      <c r="T1" s="138"/>
      <c r="U1" s="138"/>
      <c r="V1" s="138"/>
      <c r="W1" s="139"/>
      <c r="Y1" s="73"/>
    </row>
    <row r="2" spans="1:28">
      <c r="A2" s="386" t="s">
        <v>108</v>
      </c>
      <c r="B2" s="386"/>
      <c r="C2" s="386"/>
      <c r="D2" s="386"/>
      <c r="E2" s="386"/>
      <c r="F2" s="386"/>
      <c r="G2" s="386"/>
      <c r="H2" s="386"/>
      <c r="I2" s="386"/>
      <c r="J2" s="386"/>
      <c r="K2" s="386"/>
      <c r="L2" s="139"/>
      <c r="M2" s="74"/>
      <c r="N2" s="74"/>
      <c r="O2" s="74"/>
      <c r="P2" s="74"/>
      <c r="Q2" s="74"/>
      <c r="R2" s="74"/>
      <c r="S2" s="74"/>
      <c r="T2" s="74"/>
      <c r="U2" s="139"/>
      <c r="V2" s="140" t="s">
        <v>109</v>
      </c>
      <c r="W2" s="139"/>
      <c r="Y2" s="141"/>
    </row>
    <row r="3" spans="1:28">
      <c r="A3" s="139"/>
      <c r="B3" s="139"/>
      <c r="C3" s="139"/>
      <c r="D3" s="142"/>
      <c r="E3" s="142"/>
      <c r="F3" s="139"/>
      <c r="G3" s="139"/>
      <c r="H3" s="139"/>
      <c r="I3" s="143"/>
      <c r="J3" s="144"/>
      <c r="K3" s="139"/>
      <c r="L3" s="139"/>
      <c r="M3" s="139"/>
      <c r="N3" s="139"/>
      <c r="O3" s="142"/>
      <c r="P3" s="142"/>
      <c r="Q3" s="139"/>
      <c r="R3" s="139"/>
      <c r="S3" s="139"/>
      <c r="T3" s="143"/>
      <c r="U3" s="75"/>
      <c r="V3" s="139"/>
      <c r="W3" s="139"/>
      <c r="Y3" s="73"/>
    </row>
    <row r="4" spans="1:28">
      <c r="A4" s="139"/>
      <c r="B4" s="139"/>
      <c r="C4" s="139"/>
      <c r="D4" s="387" t="s">
        <v>110</v>
      </c>
      <c r="E4" s="388"/>
      <c r="F4" s="380">
        <v>2019</v>
      </c>
      <c r="G4" s="389"/>
      <c r="H4" s="381"/>
      <c r="I4" s="139"/>
      <c r="J4" s="144"/>
      <c r="K4" s="387" t="s">
        <v>111</v>
      </c>
      <c r="L4" s="388"/>
      <c r="M4" s="380">
        <v>1</v>
      </c>
      <c r="N4" s="381"/>
      <c r="O4" s="377"/>
      <c r="P4" s="378"/>
      <c r="Q4" s="378"/>
      <c r="R4" s="378"/>
      <c r="S4" s="378"/>
      <c r="T4" s="139"/>
      <c r="U4" s="139"/>
      <c r="V4" s="139"/>
      <c r="W4" s="139"/>
      <c r="Y4" s="141"/>
    </row>
    <row r="5" spans="1:28">
      <c r="A5" s="139"/>
      <c r="B5" s="139"/>
      <c r="C5" s="139"/>
      <c r="D5" s="139"/>
      <c r="E5" s="139"/>
      <c r="F5" s="139"/>
      <c r="G5" s="139"/>
      <c r="H5" s="139"/>
      <c r="I5" s="139"/>
      <c r="J5" s="144"/>
      <c r="K5" s="139"/>
      <c r="L5" s="139"/>
      <c r="M5" s="139"/>
      <c r="N5" s="139"/>
      <c r="O5" s="139"/>
      <c r="P5" s="139"/>
      <c r="Q5" s="139"/>
      <c r="R5" s="139"/>
      <c r="S5" s="139"/>
      <c r="T5" s="139"/>
      <c r="U5" s="139"/>
      <c r="V5" s="139"/>
      <c r="W5" s="139"/>
      <c r="Y5" s="145"/>
    </row>
    <row r="6" spans="1:28">
      <c r="Y6" s="146"/>
    </row>
    <row r="7" spans="1:28" ht="18" customHeight="1">
      <c r="B7" s="379" t="s">
        <v>112</v>
      </c>
      <c r="C7" s="379"/>
      <c r="D7" s="379"/>
      <c r="E7" s="379"/>
      <c r="F7" s="379"/>
      <c r="G7" s="379"/>
      <c r="H7" s="379"/>
      <c r="I7" s="379"/>
      <c r="J7" s="379"/>
      <c r="K7" s="379"/>
      <c r="L7" s="379"/>
      <c r="M7" s="379"/>
      <c r="N7" s="379"/>
      <c r="O7" s="379"/>
      <c r="P7" s="379"/>
      <c r="Q7" s="379"/>
      <c r="R7" s="379"/>
      <c r="S7" s="379"/>
      <c r="T7" s="379"/>
      <c r="U7" s="379"/>
      <c r="V7" s="379"/>
      <c r="Y7" s="376"/>
    </row>
    <row r="8" spans="1:28" s="76" customFormat="1" ht="6" customHeight="1">
      <c r="B8" s="147"/>
      <c r="C8" s="147"/>
      <c r="D8" s="147"/>
      <c r="E8" s="147"/>
      <c r="F8" s="147"/>
      <c r="G8" s="147"/>
      <c r="H8" s="147"/>
      <c r="I8" s="147"/>
      <c r="J8" s="148"/>
      <c r="K8" s="147"/>
      <c r="M8" s="147"/>
      <c r="N8" s="147"/>
      <c r="O8" s="147"/>
      <c r="P8" s="147"/>
      <c r="Q8" s="147"/>
      <c r="R8" s="147"/>
      <c r="S8" s="147"/>
      <c r="T8" s="147"/>
      <c r="U8" s="147"/>
      <c r="V8" s="147"/>
      <c r="Y8" s="376"/>
    </row>
    <row r="9" spans="1:28" s="77" customFormat="1" ht="13">
      <c r="B9" s="373">
        <f>DATE(year,7,1)</f>
        <v>43647</v>
      </c>
      <c r="C9" s="374"/>
      <c r="D9" s="374"/>
      <c r="E9" s="374"/>
      <c r="F9" s="374"/>
      <c r="G9" s="374"/>
      <c r="H9" s="374"/>
      <c r="I9" s="78"/>
      <c r="J9" s="375" t="s">
        <v>113</v>
      </c>
      <c r="K9" s="375"/>
      <c r="L9" s="78"/>
      <c r="M9" s="373">
        <f>DATE(year+1,1,1)</f>
        <v>43831</v>
      </c>
      <c r="N9" s="374"/>
      <c r="O9" s="374"/>
      <c r="P9" s="374"/>
      <c r="Q9" s="374"/>
      <c r="R9" s="374"/>
      <c r="S9" s="374"/>
      <c r="T9" s="78"/>
      <c r="U9" s="375" t="s">
        <v>114</v>
      </c>
      <c r="V9" s="375"/>
      <c r="Y9" s="376"/>
      <c r="Z9" s="79"/>
      <c r="AA9" s="79"/>
      <c r="AB9" s="79"/>
    </row>
    <row r="10" spans="1:28" s="76" customFormat="1" ht="13.4" customHeight="1">
      <c r="B10" s="149" t="str">
        <f>IF(startday=1,INDEX(weekDayNames,1),INDEX(weekDayNames,2))</f>
        <v>Su</v>
      </c>
      <c r="C10" s="150" t="str">
        <f>IF(startday=1,INDEX(weekDayNames,2),INDEX(weekDayNames,3))</f>
        <v>M</v>
      </c>
      <c r="D10" s="150" t="str">
        <f>IF(startday=1,INDEX(weekDayNames,3),INDEX(weekDayNames,4))</f>
        <v>Tu</v>
      </c>
      <c r="E10" s="150" t="str">
        <f>IF(startday=1,INDEX(weekDayNames,4),INDEX(weekDayNames,5))</f>
        <v>W</v>
      </c>
      <c r="F10" s="150" t="str">
        <f>IF(startday=1,INDEX(weekDayNames,5),INDEX(weekDayNames,6))</f>
        <v>Th</v>
      </c>
      <c r="G10" s="150" t="str">
        <f>IF(startday=1,INDEX(weekDayNames,6),INDEX(weekDayNames,7))</f>
        <v>F</v>
      </c>
      <c r="H10" s="149" t="str">
        <f>IF(startday=1,INDEX(weekDayNames,7),INDEX(weekDayNames,1))</f>
        <v>Sa</v>
      </c>
      <c r="I10" s="78"/>
      <c r="J10" s="383" t="s">
        <v>115</v>
      </c>
      <c r="K10" s="383"/>
      <c r="L10" s="78"/>
      <c r="M10" s="149" t="str">
        <f>IF(startday=1,INDEX(weekDayNames,1),INDEX(weekDayNames,2))</f>
        <v>Su</v>
      </c>
      <c r="N10" s="150" t="str">
        <f>IF(startday=1,INDEX(weekDayNames,2),INDEX(weekDayNames,3))</f>
        <v>M</v>
      </c>
      <c r="O10" s="150" t="str">
        <f>IF(startday=1,INDEX(weekDayNames,3),INDEX(weekDayNames,4))</f>
        <v>Tu</v>
      </c>
      <c r="P10" s="150" t="str">
        <f>IF(startday=1,INDEX(weekDayNames,4),INDEX(weekDayNames,5))</f>
        <v>W</v>
      </c>
      <c r="Q10" s="150" t="str">
        <f>IF(startday=1,INDEX(weekDayNames,5),INDEX(weekDayNames,6))</f>
        <v>Th</v>
      </c>
      <c r="R10" s="150" t="str">
        <f>IF(startday=1,INDEX(weekDayNames,6),INDEX(weekDayNames,7))</f>
        <v>F</v>
      </c>
      <c r="S10" s="149" t="str">
        <f>IF(startday=1,INDEX(weekDayNames,7),INDEX(weekDayNames,1))</f>
        <v>Sa</v>
      </c>
      <c r="T10" s="78"/>
      <c r="U10" s="151">
        <v>8</v>
      </c>
      <c r="V10" s="152" t="s">
        <v>170</v>
      </c>
      <c r="Y10" s="376"/>
    </row>
    <row r="11" spans="1:28" s="76" customFormat="1" ht="13.4" customHeight="1">
      <c r="B11" s="153" t="str">
        <f t="array" ref="B11:H16">IF(MONTH(B9)&lt;&gt;MONTH(DATE(YEAR(B9),MONTH(B9),1)-WEEKDAY(DATE(YEAR(B9),MONTH(B9),1),startday)+(WeekNo-1)*7+WeekDay),"",DATE(YEAR(B9),MONTH(B9),1)-WEEKDAY(DATE(YEAR(B9),MONTH(B9),1),startday)+(WeekNo-1)*7+WeekDay)</f>
        <v/>
      </c>
      <c r="C11" s="154">
        <v>43647</v>
      </c>
      <c r="D11" s="155">
        <v>43648</v>
      </c>
      <c r="E11" s="156">
        <v>43649</v>
      </c>
      <c r="F11" s="156">
        <v>43650</v>
      </c>
      <c r="G11" s="156">
        <v>43651</v>
      </c>
      <c r="H11" s="153">
        <v>43652</v>
      </c>
      <c r="I11" s="78"/>
      <c r="J11" s="384" t="s">
        <v>171</v>
      </c>
      <c r="K11" s="384"/>
      <c r="L11" s="78"/>
      <c r="M11" s="153" t="str">
        <f t="array" ref="M11:S16">IF(MONTH(M9)&lt;&gt;MONTH(DATE(YEAR(M9),MONTH(M9),1)-WEEKDAY(DATE(YEAR(M9),MONTH(M9),1),startday)+(WeekNo-1)*7+WeekDay),"",DATE(YEAR(M9),MONTH(M9),1)-WEEKDAY(DATE(YEAR(M9),MONTH(M9),1),startday)+(WeekNo-1)*7+WeekDay)</f>
        <v/>
      </c>
      <c r="N11" s="156" t="str">
        <v/>
      </c>
      <c r="O11" s="156" t="str">
        <v/>
      </c>
      <c r="P11" s="156">
        <v>43831</v>
      </c>
      <c r="Q11" s="156">
        <v>43832</v>
      </c>
      <c r="R11" s="156">
        <v>43833</v>
      </c>
      <c r="S11" s="153">
        <v>43834</v>
      </c>
      <c r="T11" s="78"/>
      <c r="U11" s="157">
        <v>14</v>
      </c>
      <c r="V11" s="158" t="s">
        <v>116</v>
      </c>
      <c r="Y11" s="376"/>
    </row>
    <row r="12" spans="1:28" s="76" customFormat="1" ht="13.4" customHeight="1">
      <c r="B12" s="153">
        <v>43653</v>
      </c>
      <c r="C12" s="156">
        <v>43654</v>
      </c>
      <c r="D12" s="156">
        <v>43655</v>
      </c>
      <c r="E12" s="159">
        <v>43656</v>
      </c>
      <c r="F12" s="156">
        <v>43657</v>
      </c>
      <c r="G12" s="156">
        <v>43658</v>
      </c>
      <c r="H12" s="153">
        <v>43659</v>
      </c>
      <c r="I12" s="78"/>
      <c r="J12" s="382" t="s">
        <v>172</v>
      </c>
      <c r="K12" s="382"/>
      <c r="L12" s="78"/>
      <c r="M12" s="153">
        <v>43835</v>
      </c>
      <c r="N12" s="156">
        <v>43836</v>
      </c>
      <c r="O12" s="156">
        <v>43837</v>
      </c>
      <c r="P12" s="159">
        <v>43838</v>
      </c>
      <c r="Q12" s="156">
        <v>43839</v>
      </c>
      <c r="R12" s="156">
        <v>43840</v>
      </c>
      <c r="S12" s="153">
        <v>43841</v>
      </c>
      <c r="T12" s="78"/>
      <c r="U12" s="151">
        <v>22</v>
      </c>
      <c r="V12" s="152" t="s">
        <v>170</v>
      </c>
      <c r="Y12" s="160"/>
      <c r="Z12" s="80"/>
      <c r="AA12" s="80"/>
      <c r="AB12" s="80"/>
    </row>
    <row r="13" spans="1:28" s="76" customFormat="1" ht="13.4" customHeight="1">
      <c r="B13" s="153">
        <v>43660</v>
      </c>
      <c r="C13" s="156">
        <v>43661</v>
      </c>
      <c r="D13" s="155">
        <v>43662</v>
      </c>
      <c r="E13" s="156">
        <v>43663</v>
      </c>
      <c r="F13" s="156">
        <v>43664</v>
      </c>
      <c r="G13" s="156">
        <v>43665</v>
      </c>
      <c r="H13" s="153">
        <v>43666</v>
      </c>
      <c r="I13" s="78"/>
      <c r="J13" s="161"/>
      <c r="K13" s="162"/>
      <c r="L13" s="78"/>
      <c r="M13" s="153">
        <v>43842</v>
      </c>
      <c r="N13" s="156">
        <v>43843</v>
      </c>
      <c r="O13" s="155">
        <v>43844</v>
      </c>
      <c r="P13" s="156">
        <v>43845</v>
      </c>
      <c r="Q13" s="156">
        <v>43846</v>
      </c>
      <c r="R13" s="155">
        <v>43847</v>
      </c>
      <c r="S13" s="153">
        <v>43848</v>
      </c>
      <c r="T13" s="78"/>
      <c r="U13" s="157">
        <v>28</v>
      </c>
      <c r="V13" s="158" t="s">
        <v>116</v>
      </c>
      <c r="Y13" s="161"/>
      <c r="Z13" s="162"/>
      <c r="AA13" s="80"/>
      <c r="AB13" s="80"/>
    </row>
    <row r="14" spans="1:28" s="76" customFormat="1" ht="13.4" customHeight="1">
      <c r="B14" s="153">
        <v>43667</v>
      </c>
      <c r="C14" s="156">
        <v>43668</v>
      </c>
      <c r="D14" s="156">
        <v>43669</v>
      </c>
      <c r="E14" s="159">
        <v>43670</v>
      </c>
      <c r="F14" s="156">
        <v>43671</v>
      </c>
      <c r="G14" s="156">
        <v>43672</v>
      </c>
      <c r="H14" s="153">
        <v>43673</v>
      </c>
      <c r="I14" s="78"/>
      <c r="J14" s="163">
        <v>1</v>
      </c>
      <c r="K14" s="162" t="s">
        <v>173</v>
      </c>
      <c r="L14" s="78"/>
      <c r="M14" s="153">
        <v>43849</v>
      </c>
      <c r="N14" s="156">
        <v>43850</v>
      </c>
      <c r="O14" s="156">
        <v>43851</v>
      </c>
      <c r="P14" s="159">
        <v>43852</v>
      </c>
      <c r="Q14" s="156">
        <v>43853</v>
      </c>
      <c r="R14" s="156">
        <v>43854</v>
      </c>
      <c r="S14" s="153">
        <v>43855</v>
      </c>
      <c r="T14" s="78"/>
      <c r="U14" s="164">
        <v>31</v>
      </c>
      <c r="V14" s="165" t="s">
        <v>174</v>
      </c>
      <c r="Y14" s="161"/>
      <c r="Z14" s="162"/>
      <c r="AA14" s="80"/>
      <c r="AB14" s="80"/>
    </row>
    <row r="15" spans="1:28" s="76" customFormat="1" ht="13.4" customHeight="1">
      <c r="B15" s="153">
        <v>43674</v>
      </c>
      <c r="C15" s="156">
        <v>43675</v>
      </c>
      <c r="D15" s="155">
        <v>43676</v>
      </c>
      <c r="E15" s="156">
        <v>43677</v>
      </c>
      <c r="F15" s="166" t="str">
        <v/>
      </c>
      <c r="G15" s="156" t="str">
        <v/>
      </c>
      <c r="H15" s="153" t="str">
        <v/>
      </c>
      <c r="I15" s="78"/>
      <c r="J15" s="167" t="s">
        <v>192</v>
      </c>
      <c r="K15" s="76" t="s">
        <v>175</v>
      </c>
      <c r="L15" s="78"/>
      <c r="M15" s="153">
        <v>43856</v>
      </c>
      <c r="N15" s="156">
        <v>43857</v>
      </c>
      <c r="O15" s="155">
        <v>43858</v>
      </c>
      <c r="P15" s="156">
        <v>43859</v>
      </c>
      <c r="Q15" s="156">
        <v>43860</v>
      </c>
      <c r="R15" s="154">
        <v>43861</v>
      </c>
      <c r="S15" s="153" t="str">
        <v/>
      </c>
      <c r="T15" s="78"/>
      <c r="U15" s="169"/>
      <c r="V15" s="158"/>
      <c r="Y15" s="161"/>
      <c r="Z15" s="162"/>
      <c r="AA15" s="80"/>
      <c r="AB15" s="80"/>
    </row>
    <row r="16" spans="1:28" s="76" customFormat="1" ht="13.4" customHeight="1">
      <c r="B16" s="153" t="str">
        <v/>
      </c>
      <c r="C16" s="155" t="str">
        <v/>
      </c>
      <c r="D16" s="156" t="str">
        <v/>
      </c>
      <c r="E16" s="156" t="str">
        <v/>
      </c>
      <c r="F16" s="156" t="str">
        <v/>
      </c>
      <c r="G16" s="156" t="str">
        <v/>
      </c>
      <c r="H16" s="153" t="str">
        <v/>
      </c>
      <c r="I16" s="78"/>
      <c r="J16" s="157" t="s">
        <v>193</v>
      </c>
      <c r="K16" s="162" t="s">
        <v>176</v>
      </c>
      <c r="L16" s="78"/>
      <c r="M16" s="153" t="str">
        <v/>
      </c>
      <c r="N16" s="156" t="str">
        <v/>
      </c>
      <c r="O16" s="156" t="str">
        <v/>
      </c>
      <c r="P16" s="156" t="str">
        <v/>
      </c>
      <c r="Q16" s="156" t="str">
        <v/>
      </c>
      <c r="R16" s="156" t="str">
        <v/>
      </c>
      <c r="S16" s="153" t="str">
        <v/>
      </c>
      <c r="T16" s="78"/>
      <c r="Y16" s="161"/>
      <c r="Z16" s="162"/>
      <c r="AA16" s="80"/>
      <c r="AB16" s="80"/>
    </row>
    <row r="17" spans="2:40" s="76" customFormat="1" ht="10.5">
      <c r="B17" s="170"/>
      <c r="C17" s="171"/>
      <c r="D17" s="172"/>
      <c r="E17" s="172"/>
      <c r="F17" s="172"/>
      <c r="G17" s="172"/>
      <c r="H17" s="170"/>
      <c r="I17" s="78"/>
      <c r="K17" s="162"/>
      <c r="L17" s="78"/>
      <c r="M17" s="170"/>
      <c r="N17" s="172"/>
      <c r="O17" s="172"/>
      <c r="P17" s="172"/>
      <c r="Q17" s="172"/>
      <c r="R17" s="172"/>
      <c r="S17" s="170"/>
      <c r="T17" s="78"/>
      <c r="Y17" s="161"/>
      <c r="Z17" s="162"/>
      <c r="AA17" s="80"/>
      <c r="AB17" s="80"/>
    </row>
    <row r="18" spans="2:40" s="76" customFormat="1" ht="4.5" customHeight="1">
      <c r="B18" s="78"/>
      <c r="C18" s="78"/>
      <c r="D18" s="78"/>
      <c r="E18" s="78"/>
      <c r="F18" s="78"/>
      <c r="G18" s="78"/>
      <c r="H18" s="78"/>
      <c r="I18" s="78"/>
      <c r="J18" s="81"/>
      <c r="K18" s="78"/>
      <c r="L18" s="78"/>
      <c r="M18" s="78"/>
      <c r="N18" s="78"/>
      <c r="O18" s="78"/>
      <c r="P18" s="78"/>
      <c r="Q18" s="78"/>
      <c r="R18" s="78"/>
      <c r="S18" s="78"/>
      <c r="T18" s="78"/>
      <c r="U18" s="77"/>
      <c r="V18" s="77"/>
      <c r="Y18" s="161"/>
      <c r="Z18" s="162"/>
      <c r="AA18" s="80"/>
      <c r="AB18" s="80"/>
      <c r="AF18" s="82"/>
      <c r="AG18" s="78"/>
      <c r="AM18" s="82"/>
      <c r="AN18" s="78"/>
    </row>
    <row r="19" spans="2:40" s="77" customFormat="1" ht="11.5">
      <c r="B19" s="373">
        <f>DATE(year,8,1)</f>
        <v>43678</v>
      </c>
      <c r="C19" s="374"/>
      <c r="D19" s="374"/>
      <c r="E19" s="374"/>
      <c r="F19" s="374"/>
      <c r="G19" s="374"/>
      <c r="H19" s="374"/>
      <c r="I19" s="78"/>
      <c r="J19" s="375" t="s">
        <v>117</v>
      </c>
      <c r="K19" s="375"/>
      <c r="L19" s="78"/>
      <c r="M19" s="373">
        <f>DATE(year+1,2,1)</f>
        <v>43862</v>
      </c>
      <c r="N19" s="374"/>
      <c r="O19" s="374"/>
      <c r="P19" s="374"/>
      <c r="Q19" s="374"/>
      <c r="R19" s="374"/>
      <c r="S19" s="374"/>
      <c r="T19" s="78"/>
      <c r="U19" s="375" t="s">
        <v>118</v>
      </c>
      <c r="V19" s="375"/>
      <c r="Y19" s="161"/>
      <c r="Z19" s="162"/>
      <c r="AA19" s="80"/>
      <c r="AB19" s="83"/>
      <c r="AC19" s="84"/>
    </row>
    <row r="20" spans="2:40" s="76" customFormat="1" ht="13.4" customHeight="1">
      <c r="B20" s="149" t="str">
        <f>IF(startday=1,INDEX(weekDayNames,1),INDEX(weekDayNames,2))</f>
        <v>Su</v>
      </c>
      <c r="C20" s="150" t="str">
        <f>IF(startday=1,INDEX(weekDayNames,2),INDEX(weekDayNames,3))</f>
        <v>M</v>
      </c>
      <c r="D20" s="150" t="str">
        <f>IF(startday=1,INDEX(weekDayNames,3),INDEX(weekDayNames,4))</f>
        <v>Tu</v>
      </c>
      <c r="E20" s="150" t="str">
        <f>IF(startday=1,INDEX(weekDayNames,4),INDEX(weekDayNames,5))</f>
        <v>W</v>
      </c>
      <c r="F20" s="150" t="str">
        <f>IF(startday=1,INDEX(weekDayNames,5),INDEX(weekDayNames,6))</f>
        <v>Th</v>
      </c>
      <c r="G20" s="150" t="str">
        <f>IF(startday=1,INDEX(weekDayNames,6),INDEX(weekDayNames,7))</f>
        <v>F</v>
      </c>
      <c r="H20" s="149" t="str">
        <f>IF(startday=1,INDEX(weekDayNames,7),INDEX(weekDayNames,1))</f>
        <v>Sa</v>
      </c>
      <c r="I20" s="78"/>
      <c r="J20" s="173">
        <v>7</v>
      </c>
      <c r="K20" s="152" t="s">
        <v>170</v>
      </c>
      <c r="M20" s="149" t="str">
        <f>IF(startday=1,INDEX(weekDayNames,1),INDEX(weekDayNames,2))</f>
        <v>Su</v>
      </c>
      <c r="N20" s="150" t="str">
        <f>IF(startday=1,INDEX(weekDayNames,2),INDEX(weekDayNames,3))</f>
        <v>M</v>
      </c>
      <c r="O20" s="150" t="str">
        <f>IF(startday=1,INDEX(weekDayNames,3),INDEX(weekDayNames,4))</f>
        <v>Tu</v>
      </c>
      <c r="P20" s="150" t="str">
        <f>IF(startday=1,INDEX(weekDayNames,4),INDEX(weekDayNames,5))</f>
        <v>W</v>
      </c>
      <c r="Q20" s="150" t="str">
        <f>IF(startday=1,INDEX(weekDayNames,5),INDEX(weekDayNames,6))</f>
        <v>Th</v>
      </c>
      <c r="R20" s="150" t="str">
        <f>IF(startday=1,INDEX(weekDayNames,6),INDEX(weekDayNames,7))</f>
        <v>F</v>
      </c>
      <c r="S20" s="149" t="str">
        <f>IF(startday=1,INDEX(weekDayNames,7),INDEX(weekDayNames,1))</f>
        <v>Sa</v>
      </c>
      <c r="T20" s="78"/>
      <c r="U20" s="174">
        <v>5</v>
      </c>
      <c r="V20" s="152" t="s">
        <v>170</v>
      </c>
      <c r="Y20" s="175"/>
      <c r="AA20" s="80"/>
      <c r="AB20" s="80"/>
    </row>
    <row r="21" spans="2:40" s="76" customFormat="1" ht="13.4" customHeight="1">
      <c r="B21" s="153" t="str">
        <f t="array" ref="B21:H26">IF(MONTH(B19)&lt;&gt;MONTH(DATE(YEAR(B19),MONTH(B19),1)-WEEKDAY(DATE(YEAR(B19),MONTH(B19),1),startday)+(WeekNo-1)*7+WeekDay),"",DATE(YEAR(B19),MONTH(B19),1)-WEEKDAY(DATE(YEAR(B19),MONTH(B19),1),startday)+(WeekNo-1)*7+WeekDay)</f>
        <v/>
      </c>
      <c r="C21" s="156" t="str">
        <v/>
      </c>
      <c r="D21" s="156" t="str">
        <v/>
      </c>
      <c r="E21" s="156" t="str">
        <v/>
      </c>
      <c r="F21" s="156">
        <v>43678</v>
      </c>
      <c r="G21" s="156">
        <v>43679</v>
      </c>
      <c r="H21" s="153">
        <v>43680</v>
      </c>
      <c r="I21" s="78"/>
      <c r="J21" s="157">
        <v>13</v>
      </c>
      <c r="K21" s="176" t="s">
        <v>116</v>
      </c>
      <c r="M21" s="153" t="str">
        <f t="array" ref="M21:S26">IF(MONTH(M19)&lt;&gt;MONTH(DATE(YEAR(M19),MONTH(M19),1)-WEEKDAY(DATE(YEAR(M19),MONTH(M19),1),startday)+(WeekNo-1)*7+WeekDay),"",DATE(YEAR(M19),MONTH(M19),1)-WEEKDAY(DATE(YEAR(M19),MONTH(M19),1),startday)+(WeekNo-1)*7+WeekDay)</f>
        <v/>
      </c>
      <c r="N21" s="156" t="str">
        <v/>
      </c>
      <c r="O21" s="156" t="str">
        <v/>
      </c>
      <c r="P21" s="156" t="str">
        <v/>
      </c>
      <c r="Q21" s="156" t="str">
        <v/>
      </c>
      <c r="R21" s="156" t="str">
        <v/>
      </c>
      <c r="S21" s="153">
        <v>43862</v>
      </c>
      <c r="T21" s="78"/>
      <c r="U21" s="157">
        <v>11</v>
      </c>
      <c r="V21" s="158" t="s">
        <v>116</v>
      </c>
      <c r="Y21" s="175"/>
    </row>
    <row r="22" spans="2:40" s="76" customFormat="1" ht="13.4" customHeight="1">
      <c r="B22" s="153">
        <v>43681</v>
      </c>
      <c r="C22" s="156">
        <v>43682</v>
      </c>
      <c r="D22" s="156">
        <v>43683</v>
      </c>
      <c r="E22" s="159">
        <v>43684</v>
      </c>
      <c r="F22" s="156">
        <v>43685</v>
      </c>
      <c r="G22" s="156">
        <v>43686</v>
      </c>
      <c r="H22" s="153">
        <v>43687</v>
      </c>
      <c r="I22" s="78"/>
      <c r="J22" s="173">
        <v>21</v>
      </c>
      <c r="K22" s="152" t="s">
        <v>170</v>
      </c>
      <c r="L22" s="78"/>
      <c r="M22" s="153">
        <v>43863</v>
      </c>
      <c r="N22" s="156">
        <v>43864</v>
      </c>
      <c r="O22" s="156">
        <v>43865</v>
      </c>
      <c r="P22" s="159">
        <v>43866</v>
      </c>
      <c r="Q22" s="156">
        <v>43867</v>
      </c>
      <c r="R22" s="156">
        <v>43868</v>
      </c>
      <c r="S22" s="153">
        <v>43869</v>
      </c>
      <c r="T22" s="78"/>
      <c r="U22" s="174">
        <v>19</v>
      </c>
      <c r="V22" s="152" t="s">
        <v>170</v>
      </c>
      <c r="Y22" s="175"/>
      <c r="AA22" s="77"/>
      <c r="AB22" s="77"/>
    </row>
    <row r="23" spans="2:40" s="76" customFormat="1" ht="13.4" customHeight="1">
      <c r="B23" s="153">
        <v>43688</v>
      </c>
      <c r="C23" s="156">
        <v>43689</v>
      </c>
      <c r="D23" s="155">
        <v>43690</v>
      </c>
      <c r="E23" s="156">
        <v>43691</v>
      </c>
      <c r="F23" s="156">
        <v>43692</v>
      </c>
      <c r="G23" s="156">
        <v>43693</v>
      </c>
      <c r="H23" s="153">
        <v>43694</v>
      </c>
      <c r="I23" s="78"/>
      <c r="J23" s="157">
        <v>27</v>
      </c>
      <c r="K23" s="176" t="s">
        <v>116</v>
      </c>
      <c r="L23" s="78"/>
      <c r="M23" s="153">
        <v>43870</v>
      </c>
      <c r="N23" s="156">
        <v>43871</v>
      </c>
      <c r="O23" s="155">
        <v>43872</v>
      </c>
      <c r="P23" s="156">
        <v>43873</v>
      </c>
      <c r="Q23" s="156">
        <v>43874</v>
      </c>
      <c r="R23" s="156">
        <v>43875</v>
      </c>
      <c r="S23" s="153">
        <v>43876</v>
      </c>
      <c r="T23" s="78"/>
      <c r="U23" s="157">
        <v>25</v>
      </c>
      <c r="V23" s="158" t="s">
        <v>116</v>
      </c>
      <c r="Y23" s="175"/>
    </row>
    <row r="24" spans="2:40" s="76" customFormat="1" ht="13.4" customHeight="1">
      <c r="B24" s="153">
        <v>43695</v>
      </c>
      <c r="C24" s="156">
        <v>43696</v>
      </c>
      <c r="D24" s="156">
        <v>43697</v>
      </c>
      <c r="E24" s="159">
        <v>43698</v>
      </c>
      <c r="F24" s="156">
        <v>43699</v>
      </c>
      <c r="G24" s="156">
        <v>43700</v>
      </c>
      <c r="H24" s="153">
        <v>43701</v>
      </c>
      <c r="I24" s="78"/>
      <c r="J24" s="163">
        <v>30</v>
      </c>
      <c r="K24" s="177" t="s">
        <v>119</v>
      </c>
      <c r="L24" s="78"/>
      <c r="M24" s="153">
        <v>43877</v>
      </c>
      <c r="N24" s="156">
        <v>43878</v>
      </c>
      <c r="O24" s="156">
        <v>43879</v>
      </c>
      <c r="P24" s="159">
        <v>43880</v>
      </c>
      <c r="Q24" s="156">
        <v>43881</v>
      </c>
      <c r="R24" s="156">
        <v>43882</v>
      </c>
      <c r="S24" s="153">
        <v>43883</v>
      </c>
      <c r="T24" s="78"/>
      <c r="AA24" s="161"/>
    </row>
    <row r="25" spans="2:40" s="76" customFormat="1" ht="13.4" customHeight="1">
      <c r="B25" s="153">
        <v>43702</v>
      </c>
      <c r="C25" s="156">
        <v>43703</v>
      </c>
      <c r="D25" s="155">
        <v>43704</v>
      </c>
      <c r="E25" s="156">
        <v>43705</v>
      </c>
      <c r="F25" s="156">
        <v>43706</v>
      </c>
      <c r="G25" s="154">
        <v>43707</v>
      </c>
      <c r="H25" s="153">
        <v>43708</v>
      </c>
      <c r="I25" s="78"/>
      <c r="K25" s="177"/>
      <c r="L25" s="78"/>
      <c r="M25" s="153">
        <v>43884</v>
      </c>
      <c r="N25" s="156">
        <v>43885</v>
      </c>
      <c r="O25" s="155">
        <v>43886</v>
      </c>
      <c r="P25" s="156">
        <v>43887</v>
      </c>
      <c r="Q25" s="156">
        <v>43888</v>
      </c>
      <c r="R25" s="156">
        <v>43889</v>
      </c>
      <c r="S25" s="153">
        <v>43890</v>
      </c>
      <c r="T25" s="78"/>
    </row>
    <row r="26" spans="2:40" s="76" customFormat="1" ht="13.4" customHeight="1">
      <c r="B26" s="153" t="str">
        <v/>
      </c>
      <c r="C26" s="156" t="str">
        <v/>
      </c>
      <c r="D26" s="156" t="str">
        <v/>
      </c>
      <c r="E26" s="156" t="str">
        <v/>
      </c>
      <c r="F26" s="156" t="str">
        <v/>
      </c>
      <c r="G26" s="156" t="str">
        <v/>
      </c>
      <c r="H26" s="153" t="str">
        <v/>
      </c>
      <c r="I26" s="78"/>
      <c r="M26" s="153" t="str">
        <v/>
      </c>
      <c r="N26" s="156" t="str">
        <v/>
      </c>
      <c r="O26" s="156" t="str">
        <v/>
      </c>
      <c r="P26" s="156" t="str">
        <v/>
      </c>
      <c r="Q26" s="156" t="str">
        <v/>
      </c>
      <c r="R26" s="156" t="str">
        <v/>
      </c>
      <c r="S26" s="153" t="str">
        <v/>
      </c>
      <c r="T26" s="78"/>
    </row>
    <row r="27" spans="2:40" s="76" customFormat="1" ht="4.5" customHeight="1">
      <c r="B27" s="78"/>
      <c r="C27" s="78"/>
      <c r="D27" s="78"/>
      <c r="E27" s="78"/>
      <c r="F27" s="78"/>
      <c r="G27" s="78"/>
      <c r="H27" s="78"/>
      <c r="I27" s="78"/>
      <c r="L27" s="78"/>
      <c r="M27" s="78"/>
      <c r="N27" s="78"/>
      <c r="O27" s="78"/>
      <c r="P27" s="78"/>
      <c r="Q27" s="78"/>
      <c r="R27" s="78"/>
      <c r="S27" s="78"/>
      <c r="T27" s="78"/>
      <c r="Y27" s="134"/>
    </row>
    <row r="28" spans="2:40" s="76" customFormat="1" ht="10.5">
      <c r="B28" s="373">
        <f>DATE(year,9,1)</f>
        <v>43709</v>
      </c>
      <c r="C28" s="374"/>
      <c r="D28" s="374"/>
      <c r="E28" s="374"/>
      <c r="F28" s="374"/>
      <c r="G28" s="374"/>
      <c r="H28" s="374"/>
      <c r="I28" s="78"/>
      <c r="J28" s="375" t="s">
        <v>120</v>
      </c>
      <c r="K28" s="375"/>
      <c r="L28" s="78"/>
      <c r="M28" s="373">
        <f>DATE(year+1,3,1)</f>
        <v>43891</v>
      </c>
      <c r="N28" s="374"/>
      <c r="O28" s="374"/>
      <c r="P28" s="374"/>
      <c r="Q28" s="374"/>
      <c r="R28" s="374"/>
      <c r="S28" s="374"/>
      <c r="T28" s="78"/>
      <c r="U28" s="375" t="s">
        <v>121</v>
      </c>
      <c r="V28" s="375"/>
      <c r="Y28" s="175"/>
    </row>
    <row r="29" spans="2:40" s="76" customFormat="1" ht="13.4" customHeight="1">
      <c r="B29" s="149" t="str">
        <f>IF(startday=1,INDEX(weekDayNames,1),INDEX(weekDayNames,2))</f>
        <v>Su</v>
      </c>
      <c r="C29" s="150" t="str">
        <f>IF(startday=1,INDEX(weekDayNames,2),INDEX(weekDayNames,3))</f>
        <v>M</v>
      </c>
      <c r="D29" s="150" t="str">
        <f>IF(startday=1,INDEX(weekDayNames,3),INDEX(weekDayNames,4))</f>
        <v>Tu</v>
      </c>
      <c r="E29" s="150" t="str">
        <f>IF(startday=1,INDEX(weekDayNames,4),INDEX(weekDayNames,5))</f>
        <v>W</v>
      </c>
      <c r="F29" s="150" t="str">
        <f>IF(startday=1,INDEX(weekDayNames,5),INDEX(weekDayNames,6))</f>
        <v>Th</v>
      </c>
      <c r="G29" s="150" t="str">
        <f>IF(startday=1,INDEX(weekDayNames,6),INDEX(weekDayNames,7))</f>
        <v>F</v>
      </c>
      <c r="H29" s="149" t="str">
        <f>IF(startday=1,INDEX(weekDayNames,7),INDEX(weekDayNames,1))</f>
        <v>Sa</v>
      </c>
      <c r="I29" s="78"/>
      <c r="J29" s="151">
        <v>4</v>
      </c>
      <c r="K29" s="152" t="s">
        <v>170</v>
      </c>
      <c r="L29" s="78"/>
      <c r="M29" s="149" t="str">
        <f>IF(startday=1,INDEX(weekDayNames,1),INDEX(weekDayNames,2))</f>
        <v>Su</v>
      </c>
      <c r="N29" s="150" t="str">
        <f>IF(startday=1,INDEX(weekDayNames,2),INDEX(weekDayNames,3))</f>
        <v>M</v>
      </c>
      <c r="O29" s="150" t="str">
        <f>IF(startday=1,INDEX(weekDayNames,3),INDEX(weekDayNames,4))</f>
        <v>Tu</v>
      </c>
      <c r="P29" s="150" t="str">
        <f>IF(startday=1,INDEX(weekDayNames,4),INDEX(weekDayNames,5))</f>
        <v>W</v>
      </c>
      <c r="Q29" s="150" t="str">
        <f>IF(startday=1,INDEX(weekDayNames,5),INDEX(weekDayNames,6))</f>
        <v>Th</v>
      </c>
      <c r="R29" s="150" t="str">
        <f>IF(startday=1,INDEX(weekDayNames,6),INDEX(weekDayNames,7))</f>
        <v>F</v>
      </c>
      <c r="S29" s="149" t="str">
        <f>IF(startday=1,INDEX(weekDayNames,7),INDEX(weekDayNames,1))</f>
        <v>Sa</v>
      </c>
      <c r="T29" s="78"/>
      <c r="U29" s="178" t="s">
        <v>195</v>
      </c>
      <c r="V29" s="152" t="s">
        <v>170</v>
      </c>
    </row>
    <row r="30" spans="2:40" s="76" customFormat="1" ht="13.4" customHeight="1">
      <c r="B30" s="153">
        <f t="array" ref="B30:H35">IF(MONTH(B28)&lt;&gt;MONTH(DATE(YEAR(B28),MONTH(B28),1)-WEEKDAY(DATE(YEAR(B28),MONTH(B28),1),startday)+(WeekNo-1)*7+WeekDay),"",DATE(YEAR(B28),MONTH(B28),1)-WEEKDAY(DATE(YEAR(B28),MONTH(B28),1),startday)+(WeekNo-1)*7+WeekDay)</f>
        <v>43709</v>
      </c>
      <c r="C30" s="166">
        <v>43710</v>
      </c>
      <c r="D30" s="156">
        <v>43711</v>
      </c>
      <c r="E30" s="159">
        <v>43712</v>
      </c>
      <c r="F30" s="156">
        <v>43713</v>
      </c>
      <c r="G30" s="156">
        <v>43714</v>
      </c>
      <c r="H30" s="153">
        <v>43715</v>
      </c>
      <c r="I30" s="78"/>
      <c r="J30" s="157">
        <v>10</v>
      </c>
      <c r="K30" s="158" t="s">
        <v>116</v>
      </c>
      <c r="L30" s="78"/>
      <c r="M30" s="153">
        <f t="array" ref="M30:S35">IF(MONTH(M28)&lt;&gt;MONTH(DATE(YEAR(M28),MONTH(M28),1)-WEEKDAY(DATE(YEAR(M28),MONTH(M28),1),startday)+(WeekNo-1)*7+WeekDay),"",DATE(YEAR(M28),MONTH(M28),1)-WEEKDAY(DATE(YEAR(M28),MONTH(M28),1),startday)+(WeekNo-1)*7+WeekDay)</f>
        <v>43891</v>
      </c>
      <c r="N30" s="156">
        <v>43892</v>
      </c>
      <c r="O30" s="156">
        <v>43893</v>
      </c>
      <c r="P30" s="159">
        <v>43894</v>
      </c>
      <c r="Q30" s="156">
        <v>43895</v>
      </c>
      <c r="R30" s="156">
        <v>43896</v>
      </c>
      <c r="S30" s="153">
        <v>43897</v>
      </c>
      <c r="T30" s="78"/>
      <c r="U30" s="157">
        <v>10</v>
      </c>
      <c r="V30" s="158" t="s">
        <v>116</v>
      </c>
      <c r="Y30" s="175"/>
    </row>
    <row r="31" spans="2:40" s="76" customFormat="1" ht="13.4" customHeight="1">
      <c r="B31" s="153">
        <v>43716</v>
      </c>
      <c r="C31" s="156">
        <v>43717</v>
      </c>
      <c r="D31" s="155">
        <v>43718</v>
      </c>
      <c r="E31" s="156">
        <v>43719</v>
      </c>
      <c r="F31" s="156">
        <v>43720</v>
      </c>
      <c r="G31" s="156">
        <v>43721</v>
      </c>
      <c r="H31" s="153">
        <v>43722</v>
      </c>
      <c r="I31" s="78"/>
      <c r="J31" s="151">
        <v>18</v>
      </c>
      <c r="K31" s="152" t="s">
        <v>170</v>
      </c>
      <c r="L31" s="78"/>
      <c r="M31" s="153">
        <v>43898</v>
      </c>
      <c r="N31" s="156">
        <v>43899</v>
      </c>
      <c r="O31" s="155">
        <v>43900</v>
      </c>
      <c r="P31" s="156">
        <v>43901</v>
      </c>
      <c r="Q31" s="156">
        <v>43902</v>
      </c>
      <c r="R31" s="156">
        <v>43903</v>
      </c>
      <c r="S31" s="153">
        <v>43904</v>
      </c>
      <c r="T31" s="78"/>
      <c r="U31" s="179">
        <v>18</v>
      </c>
      <c r="V31" s="152" t="s">
        <v>170</v>
      </c>
      <c r="Y31" s="175"/>
    </row>
    <row r="32" spans="2:40" s="77" customFormat="1" ht="13.4" customHeight="1">
      <c r="B32" s="153">
        <v>43723</v>
      </c>
      <c r="C32" s="156">
        <v>43724</v>
      </c>
      <c r="D32" s="156">
        <v>43725</v>
      </c>
      <c r="E32" s="159">
        <v>43726</v>
      </c>
      <c r="F32" s="156">
        <v>43727</v>
      </c>
      <c r="G32" s="156">
        <v>43728</v>
      </c>
      <c r="H32" s="153">
        <v>43729</v>
      </c>
      <c r="I32" s="78"/>
      <c r="J32" s="157">
        <v>24</v>
      </c>
      <c r="K32" s="158" t="s">
        <v>116</v>
      </c>
      <c r="L32" s="78"/>
      <c r="M32" s="153">
        <v>43905</v>
      </c>
      <c r="N32" s="156">
        <v>43906</v>
      </c>
      <c r="O32" s="156">
        <v>43907</v>
      </c>
      <c r="P32" s="159">
        <v>43908</v>
      </c>
      <c r="Q32" s="156">
        <v>43909</v>
      </c>
      <c r="R32" s="156">
        <v>43910</v>
      </c>
      <c r="S32" s="153">
        <v>43911</v>
      </c>
      <c r="T32" s="78"/>
      <c r="U32" s="157">
        <v>24</v>
      </c>
      <c r="V32" s="158" t="s">
        <v>116</v>
      </c>
      <c r="AA32" s="76"/>
      <c r="AB32" s="76"/>
    </row>
    <row r="33" spans="2:28" s="76" customFormat="1" ht="13.4" customHeight="1">
      <c r="B33" s="153">
        <v>43730</v>
      </c>
      <c r="C33" s="156">
        <v>43731</v>
      </c>
      <c r="D33" s="155">
        <v>43732</v>
      </c>
      <c r="E33" s="156">
        <v>43733</v>
      </c>
      <c r="F33" s="156">
        <v>43734</v>
      </c>
      <c r="G33" s="154">
        <v>43735</v>
      </c>
      <c r="H33" s="180">
        <v>43736</v>
      </c>
      <c r="I33" s="78"/>
      <c r="J33" s="163">
        <v>27</v>
      </c>
      <c r="K33" s="181" t="s">
        <v>182</v>
      </c>
      <c r="L33" s="78"/>
      <c r="M33" s="153">
        <v>43912</v>
      </c>
      <c r="N33" s="156">
        <v>43913</v>
      </c>
      <c r="O33" s="155">
        <v>43914</v>
      </c>
      <c r="P33" s="156">
        <v>43915</v>
      </c>
      <c r="Q33" s="156">
        <v>43916</v>
      </c>
      <c r="R33" s="156">
        <v>43917</v>
      </c>
      <c r="S33" s="153">
        <v>43918</v>
      </c>
      <c r="T33" s="162"/>
      <c r="U33" s="163">
        <v>30</v>
      </c>
      <c r="V33" s="181" t="s">
        <v>184</v>
      </c>
      <c r="AA33" s="77"/>
    </row>
    <row r="34" spans="2:28" s="76" customFormat="1" ht="13.4" customHeight="1">
      <c r="B34" s="153">
        <v>43737</v>
      </c>
      <c r="C34" s="156">
        <v>43738</v>
      </c>
      <c r="D34" s="155" t="str">
        <v/>
      </c>
      <c r="E34" s="156" t="str">
        <v/>
      </c>
      <c r="F34" s="156" t="str">
        <v/>
      </c>
      <c r="G34" s="154" t="str">
        <v/>
      </c>
      <c r="H34" s="153" t="str">
        <v/>
      </c>
      <c r="I34" s="78"/>
      <c r="J34" s="81"/>
      <c r="K34" s="78"/>
      <c r="L34" s="78"/>
      <c r="M34" s="153">
        <v>43919</v>
      </c>
      <c r="N34" s="156">
        <v>43920</v>
      </c>
      <c r="O34" s="154">
        <v>43921</v>
      </c>
      <c r="P34" s="156" t="str">
        <v/>
      </c>
      <c r="Q34" s="156" t="str">
        <v/>
      </c>
      <c r="R34" s="156" t="str">
        <v/>
      </c>
      <c r="S34" s="153" t="str">
        <v/>
      </c>
      <c r="T34" s="78"/>
      <c r="U34" s="182" t="s">
        <v>177</v>
      </c>
      <c r="V34" s="182"/>
    </row>
    <row r="35" spans="2:28" s="76" customFormat="1" ht="13.4" customHeight="1">
      <c r="B35" s="153" t="str">
        <v/>
      </c>
      <c r="C35" s="156" t="str">
        <v/>
      </c>
      <c r="D35" s="156" t="str">
        <v/>
      </c>
      <c r="E35" s="156" t="str">
        <v/>
      </c>
      <c r="F35" s="156" t="str">
        <v/>
      </c>
      <c r="G35" s="156" t="str">
        <v/>
      </c>
      <c r="H35" s="153" t="str">
        <v/>
      </c>
      <c r="I35" s="78"/>
      <c r="J35" s="81"/>
      <c r="K35" s="162"/>
      <c r="L35" s="78"/>
      <c r="M35" s="153" t="str">
        <v/>
      </c>
      <c r="N35" s="156" t="str">
        <v/>
      </c>
      <c r="O35" s="156" t="str">
        <v/>
      </c>
      <c r="P35" s="156" t="str">
        <v/>
      </c>
      <c r="Q35" s="156" t="str">
        <v/>
      </c>
      <c r="R35" s="156" t="str">
        <v/>
      </c>
      <c r="S35" s="153" t="str">
        <v/>
      </c>
      <c r="T35" s="78"/>
      <c r="Y35" s="376"/>
      <c r="Z35" s="77"/>
      <c r="AB35" s="77"/>
    </row>
    <row r="36" spans="2:28" s="76" customFormat="1" ht="5.25" customHeight="1">
      <c r="B36" s="78"/>
      <c r="C36" s="78"/>
      <c r="D36" s="78"/>
      <c r="E36" s="78"/>
      <c r="F36" s="78"/>
      <c r="G36" s="78"/>
      <c r="H36" s="78"/>
      <c r="I36" s="78"/>
      <c r="L36" s="78"/>
      <c r="M36" s="78"/>
      <c r="N36" s="78"/>
      <c r="O36" s="78"/>
      <c r="P36" s="78"/>
      <c r="Q36" s="78"/>
      <c r="R36" s="78"/>
      <c r="S36" s="78"/>
      <c r="T36" s="78"/>
      <c r="U36" s="78"/>
      <c r="V36" s="78"/>
      <c r="Y36" s="376"/>
    </row>
    <row r="37" spans="2:28" s="76" customFormat="1" ht="10.5">
      <c r="B37" s="373">
        <f>DATE(year,10,1)</f>
        <v>43739</v>
      </c>
      <c r="C37" s="374"/>
      <c r="D37" s="374"/>
      <c r="E37" s="374"/>
      <c r="F37" s="374"/>
      <c r="G37" s="374"/>
      <c r="H37" s="374"/>
      <c r="I37" s="78"/>
      <c r="J37" s="375" t="s">
        <v>122</v>
      </c>
      <c r="K37" s="375"/>
      <c r="L37" s="78"/>
      <c r="M37" s="373">
        <f>DATE(year+1,4,1)</f>
        <v>43922</v>
      </c>
      <c r="N37" s="374"/>
      <c r="O37" s="374"/>
      <c r="P37" s="374"/>
      <c r="Q37" s="374"/>
      <c r="R37" s="374"/>
      <c r="S37" s="374"/>
      <c r="T37" s="78"/>
      <c r="U37" s="375" t="s">
        <v>123</v>
      </c>
      <c r="V37" s="375"/>
      <c r="Y37" s="376"/>
    </row>
    <row r="38" spans="2:28" s="76" customFormat="1" ht="13.4" customHeight="1">
      <c r="B38" s="149" t="str">
        <f>IF(startday=1,INDEX(weekDayNames,1),INDEX(weekDayNames,2))</f>
        <v>Su</v>
      </c>
      <c r="C38" s="150" t="str">
        <f>IF(startday=1,INDEX(weekDayNames,2),INDEX(weekDayNames,3))</f>
        <v>M</v>
      </c>
      <c r="D38" s="150" t="str">
        <f>IF(startday=1,INDEX(weekDayNames,3),INDEX(weekDayNames,4))</f>
        <v>Tu</v>
      </c>
      <c r="E38" s="150" t="str">
        <f>IF(startday=1,INDEX(weekDayNames,4),INDEX(weekDayNames,5))</f>
        <v>W</v>
      </c>
      <c r="F38" s="150" t="str">
        <f>IF(startday=1,INDEX(weekDayNames,5),INDEX(weekDayNames,6))</f>
        <v>Th</v>
      </c>
      <c r="G38" s="150" t="str">
        <f>IF(startday=1,INDEX(weekDayNames,6),INDEX(weekDayNames,7))</f>
        <v>F</v>
      </c>
      <c r="H38" s="149" t="str">
        <f>IF(startday=1,INDEX(weekDayNames,7),INDEX(weekDayNames,1))</f>
        <v>Sa</v>
      </c>
      <c r="I38" s="78"/>
      <c r="J38" s="151">
        <v>2</v>
      </c>
      <c r="K38" s="152" t="s">
        <v>170</v>
      </c>
      <c r="M38" s="149" t="str">
        <f>IF(startday=1,INDEX(weekDayNames,1),INDEX(weekDayNames,2))</f>
        <v>Su</v>
      </c>
      <c r="N38" s="150" t="str">
        <f>IF(startday=1,INDEX(weekDayNames,2),INDEX(weekDayNames,3))</f>
        <v>M</v>
      </c>
      <c r="O38" s="150" t="str">
        <f>IF(startday=1,INDEX(weekDayNames,3),INDEX(weekDayNames,4))</f>
        <v>Tu</v>
      </c>
      <c r="P38" s="150" t="str">
        <f>IF(startday=1,INDEX(weekDayNames,4),INDEX(weekDayNames,5))</f>
        <v>W</v>
      </c>
      <c r="Q38" s="150" t="str">
        <f>IF(startday=1,INDEX(weekDayNames,5),INDEX(weekDayNames,6))</f>
        <v>Th</v>
      </c>
      <c r="R38" s="150" t="str">
        <f>IF(startday=1,INDEX(weekDayNames,6),INDEX(weekDayNames,7))</f>
        <v>F</v>
      </c>
      <c r="S38" s="149" t="str">
        <f>IF(startday=1,INDEX(weekDayNames,7),INDEX(weekDayNames,1))</f>
        <v>Sa</v>
      </c>
      <c r="T38" s="78"/>
      <c r="U38" s="151">
        <v>1</v>
      </c>
      <c r="V38" s="152" t="s">
        <v>170</v>
      </c>
      <c r="Y38" s="376"/>
    </row>
    <row r="39" spans="2:28" s="76" customFormat="1" ht="13.4" customHeight="1">
      <c r="B39" s="153" t="str">
        <f t="array" ref="B39:H44">IF(MONTH(B37)&lt;&gt;MONTH(DATE(YEAR(B37),MONTH(B37),1)-WEEKDAY(DATE(YEAR(B37),MONTH(B37),1),startday)+(WeekNo-1)*7+WeekDay),"",DATE(YEAR(B37),MONTH(B37),1)-WEEKDAY(DATE(YEAR(B37),MONTH(B37),1),startday)+(WeekNo-1)*7+WeekDay)</f>
        <v/>
      </c>
      <c r="C39" s="156" t="str">
        <v/>
      </c>
      <c r="D39" s="156">
        <v>43739</v>
      </c>
      <c r="E39" s="159">
        <v>43740</v>
      </c>
      <c r="F39" s="166">
        <v>43741</v>
      </c>
      <c r="G39" s="156">
        <v>43742</v>
      </c>
      <c r="H39" s="153">
        <v>43743</v>
      </c>
      <c r="I39" s="162"/>
      <c r="J39" s="157">
        <v>8</v>
      </c>
      <c r="K39" s="158" t="s">
        <v>116</v>
      </c>
      <c r="M39" s="153" t="str">
        <f t="array" ref="M39:S44">IF(MONTH(M37)&lt;&gt;MONTH(DATE(YEAR(M37),MONTH(M37),1)-WEEKDAY(DATE(YEAR(M37),MONTH(M37),1),startday)+(WeekNo-1)*7+WeekDay),"",DATE(YEAR(M37),MONTH(M37),1)-WEEKDAY(DATE(YEAR(M37),MONTH(M37),1),startday)+(WeekNo-1)*7+WeekDay)</f>
        <v/>
      </c>
      <c r="N39" s="156" t="str">
        <v/>
      </c>
      <c r="O39" s="156" t="str">
        <v/>
      </c>
      <c r="P39" s="159">
        <v>43922</v>
      </c>
      <c r="Q39" s="156">
        <v>43923</v>
      </c>
      <c r="R39" s="156">
        <v>43924</v>
      </c>
      <c r="S39" s="153">
        <v>43925</v>
      </c>
      <c r="T39" s="78"/>
      <c r="U39" s="157">
        <v>7</v>
      </c>
      <c r="V39" s="158" t="s">
        <v>116</v>
      </c>
      <c r="Y39" s="376"/>
      <c r="AA39" s="77"/>
    </row>
    <row r="40" spans="2:28" s="76" customFormat="1" ht="13.4" customHeight="1">
      <c r="B40" s="153">
        <v>43744</v>
      </c>
      <c r="C40" s="156">
        <v>43745</v>
      </c>
      <c r="D40" s="155">
        <v>43746</v>
      </c>
      <c r="E40" s="156">
        <v>43747</v>
      </c>
      <c r="F40" s="156">
        <v>43748</v>
      </c>
      <c r="G40" s="156">
        <v>43749</v>
      </c>
      <c r="H40" s="153">
        <v>43750</v>
      </c>
      <c r="I40" s="162"/>
      <c r="J40" s="151">
        <v>16</v>
      </c>
      <c r="K40" s="152" t="s">
        <v>170</v>
      </c>
      <c r="L40" s="78"/>
      <c r="M40" s="153">
        <v>43926</v>
      </c>
      <c r="N40" s="156">
        <v>43927</v>
      </c>
      <c r="O40" s="155">
        <v>43928</v>
      </c>
      <c r="P40" s="156">
        <v>43929</v>
      </c>
      <c r="Q40" s="156">
        <v>43930</v>
      </c>
      <c r="R40" s="156">
        <v>43931</v>
      </c>
      <c r="S40" s="153">
        <v>43932</v>
      </c>
      <c r="T40" s="78"/>
      <c r="U40" s="179">
        <v>15</v>
      </c>
      <c r="V40" s="152" t="s">
        <v>170</v>
      </c>
      <c r="Y40" s="175"/>
    </row>
    <row r="41" spans="2:28" s="77" customFormat="1" ht="13.4" customHeight="1">
      <c r="B41" s="183">
        <v>43751</v>
      </c>
      <c r="C41" s="166">
        <v>43752</v>
      </c>
      <c r="D41" s="166">
        <v>43753</v>
      </c>
      <c r="E41" s="159">
        <v>43754</v>
      </c>
      <c r="F41" s="156">
        <v>43755</v>
      </c>
      <c r="G41" s="156">
        <v>43756</v>
      </c>
      <c r="H41" s="184">
        <v>43757</v>
      </c>
      <c r="I41" s="78"/>
      <c r="J41" s="157">
        <v>22</v>
      </c>
      <c r="K41" s="158" t="s">
        <v>116</v>
      </c>
      <c r="L41" s="76"/>
      <c r="M41" s="153">
        <v>43933</v>
      </c>
      <c r="N41" s="156">
        <v>43934</v>
      </c>
      <c r="O41" s="156">
        <v>43935</v>
      </c>
      <c r="P41" s="159">
        <v>43936</v>
      </c>
      <c r="Q41" s="156">
        <v>43937</v>
      </c>
      <c r="R41" s="156">
        <v>43938</v>
      </c>
      <c r="S41" s="153">
        <v>43939</v>
      </c>
      <c r="T41" s="78"/>
      <c r="U41" s="157">
        <v>21</v>
      </c>
      <c r="V41" s="158" t="s">
        <v>116</v>
      </c>
      <c r="AA41" s="76"/>
      <c r="AB41" s="76"/>
    </row>
    <row r="42" spans="2:28" s="76" customFormat="1" ht="13.4" customHeight="1">
      <c r="B42" s="153">
        <v>43758</v>
      </c>
      <c r="C42" s="156">
        <v>43759</v>
      </c>
      <c r="D42" s="155">
        <v>43760</v>
      </c>
      <c r="E42" s="156">
        <v>43761</v>
      </c>
      <c r="F42" s="156">
        <v>43762</v>
      </c>
      <c r="G42" s="156">
        <v>43763</v>
      </c>
      <c r="H42" s="153">
        <v>43764</v>
      </c>
      <c r="I42" s="78"/>
      <c r="J42" s="151">
        <v>30</v>
      </c>
      <c r="K42" s="152" t="s">
        <v>170</v>
      </c>
      <c r="L42" s="78"/>
      <c r="M42" s="153">
        <v>43940</v>
      </c>
      <c r="N42" s="156">
        <v>43941</v>
      </c>
      <c r="O42" s="155">
        <v>43942</v>
      </c>
      <c r="P42" s="156">
        <v>43943</v>
      </c>
      <c r="Q42" s="156">
        <v>43944</v>
      </c>
      <c r="R42" s="156">
        <v>43945</v>
      </c>
      <c r="S42" s="153">
        <v>43946</v>
      </c>
      <c r="T42" s="78"/>
      <c r="U42" s="174">
        <v>29</v>
      </c>
      <c r="V42" s="152" t="s">
        <v>170</v>
      </c>
    </row>
    <row r="43" spans="2:28" s="76" customFormat="1" ht="13.4" customHeight="1">
      <c r="B43" s="153">
        <v>43765</v>
      </c>
      <c r="C43" s="156">
        <v>43766</v>
      </c>
      <c r="D43" s="156">
        <v>43767</v>
      </c>
      <c r="E43" s="159">
        <v>43768</v>
      </c>
      <c r="F43" s="154">
        <v>43769</v>
      </c>
      <c r="G43" s="168" t="str">
        <v/>
      </c>
      <c r="H43" s="153" t="str">
        <v/>
      </c>
      <c r="I43" s="78"/>
      <c r="J43" s="163">
        <v>31</v>
      </c>
      <c r="K43" s="165" t="s">
        <v>179</v>
      </c>
      <c r="L43" s="78"/>
      <c r="M43" s="153">
        <v>43947</v>
      </c>
      <c r="N43" s="156">
        <v>43948</v>
      </c>
      <c r="O43" s="156">
        <v>43949</v>
      </c>
      <c r="P43" s="159">
        <v>43950</v>
      </c>
      <c r="Q43" s="154">
        <v>43951</v>
      </c>
      <c r="R43" s="168" t="str">
        <v/>
      </c>
      <c r="S43" s="153" t="str">
        <v/>
      </c>
      <c r="T43" s="78"/>
      <c r="U43" s="185">
        <v>30</v>
      </c>
      <c r="V43" s="165" t="s">
        <v>178</v>
      </c>
    </row>
    <row r="44" spans="2:28" s="76" customFormat="1" ht="13.4" customHeight="1">
      <c r="B44" s="183" t="str">
        <v/>
      </c>
      <c r="C44" s="156" t="str">
        <v/>
      </c>
      <c r="D44" s="156" t="str">
        <v/>
      </c>
      <c r="E44" s="156" t="str">
        <v/>
      </c>
      <c r="F44" s="156" t="str">
        <v/>
      </c>
      <c r="G44" s="156" t="str">
        <v/>
      </c>
      <c r="H44" s="153" t="str">
        <v/>
      </c>
      <c r="I44" s="78"/>
      <c r="J44" s="165"/>
      <c r="K44" s="165"/>
      <c r="L44" s="78"/>
      <c r="M44" s="153" t="str">
        <v/>
      </c>
      <c r="N44" s="156" t="str">
        <v/>
      </c>
      <c r="O44" s="156" t="str">
        <v/>
      </c>
      <c r="P44" s="156" t="str">
        <v/>
      </c>
      <c r="Q44" s="156" t="str">
        <v/>
      </c>
      <c r="R44" s="156" t="str">
        <v/>
      </c>
      <c r="S44" s="153" t="str">
        <v/>
      </c>
      <c r="T44" s="78"/>
      <c r="AB44" s="77"/>
    </row>
    <row r="45" spans="2:28" s="76" customFormat="1" ht="5.25" customHeight="1">
      <c r="B45" s="78"/>
      <c r="C45" s="78"/>
      <c r="D45" s="78"/>
      <c r="E45" s="78"/>
      <c r="F45" s="78"/>
      <c r="G45" s="78"/>
      <c r="H45" s="78"/>
      <c r="I45" s="78"/>
      <c r="L45" s="78"/>
      <c r="M45" s="78"/>
      <c r="N45" s="78"/>
      <c r="O45" s="78"/>
      <c r="P45" s="78"/>
      <c r="Q45" s="78"/>
      <c r="R45" s="78"/>
      <c r="S45" s="78"/>
      <c r="T45" s="78"/>
    </row>
    <row r="46" spans="2:28" s="76" customFormat="1" ht="10.5">
      <c r="B46" s="373">
        <f>DATE(year,11,1)</f>
        <v>43770</v>
      </c>
      <c r="C46" s="374"/>
      <c r="D46" s="374"/>
      <c r="E46" s="374"/>
      <c r="F46" s="374"/>
      <c r="G46" s="374"/>
      <c r="H46" s="374"/>
      <c r="I46" s="78"/>
      <c r="J46" s="375" t="s">
        <v>124</v>
      </c>
      <c r="K46" s="375"/>
      <c r="L46" s="78"/>
      <c r="M46" s="373">
        <f>DATE(year+1,5,1)</f>
        <v>43952</v>
      </c>
      <c r="N46" s="374"/>
      <c r="O46" s="374"/>
      <c r="P46" s="374"/>
      <c r="Q46" s="374"/>
      <c r="R46" s="374"/>
      <c r="S46" s="374"/>
      <c r="T46" s="78"/>
      <c r="U46" s="375" t="s">
        <v>125</v>
      </c>
      <c r="V46" s="375"/>
    </row>
    <row r="47" spans="2:28" s="76" customFormat="1" ht="13.4" customHeight="1">
      <c r="B47" s="149" t="str">
        <f>IF(startday=1,INDEX(weekDayNames,1),INDEX(weekDayNames,2))</f>
        <v>Su</v>
      </c>
      <c r="C47" s="150" t="str">
        <f>IF(startday=1,INDEX(weekDayNames,2),INDEX(weekDayNames,3))</f>
        <v>M</v>
      </c>
      <c r="D47" s="150" t="str">
        <f>IF(startday=1,INDEX(weekDayNames,3),INDEX(weekDayNames,4))</f>
        <v>Tu</v>
      </c>
      <c r="E47" s="150" t="str">
        <f>IF(startday=1,INDEX(weekDayNames,4),INDEX(weekDayNames,5))</f>
        <v>W</v>
      </c>
      <c r="F47" s="150" t="str">
        <f>IF(startday=1,INDEX(weekDayNames,5),INDEX(weekDayNames,6))</f>
        <v>Th</v>
      </c>
      <c r="G47" s="150" t="str">
        <f>IF(startday=1,INDEX(weekDayNames,6),INDEX(weekDayNames,7))</f>
        <v>F</v>
      </c>
      <c r="H47" s="149" t="str">
        <f>IF(startday=1,INDEX(weekDayNames,7),INDEX(weekDayNames,1))</f>
        <v>Sa</v>
      </c>
      <c r="I47" s="78"/>
      <c r="J47" s="186" t="s">
        <v>194</v>
      </c>
      <c r="K47" s="158" t="s">
        <v>116</v>
      </c>
      <c r="L47" s="78"/>
      <c r="M47" s="149" t="str">
        <f>IF(startday=1,INDEX(weekDayNames,1),INDEX(weekDayNames,2))</f>
        <v>Su</v>
      </c>
      <c r="N47" s="150" t="str">
        <f>IF(startday=1,INDEX(weekDayNames,2),INDEX(weekDayNames,3))</f>
        <v>M</v>
      </c>
      <c r="O47" s="150" t="str">
        <f>IF(startday=1,INDEX(weekDayNames,3),INDEX(weekDayNames,4))</f>
        <v>Tu</v>
      </c>
      <c r="P47" s="150" t="str">
        <f>IF(startday=1,INDEX(weekDayNames,4),INDEX(weekDayNames,5))</f>
        <v>W</v>
      </c>
      <c r="Q47" s="150" t="str">
        <f>IF(startday=1,INDEX(weekDayNames,5),INDEX(weekDayNames,6))</f>
        <v>Th</v>
      </c>
      <c r="R47" s="150" t="str">
        <f>IF(startday=1,INDEX(weekDayNames,6),INDEX(weekDayNames,7))</f>
        <v>F</v>
      </c>
      <c r="S47" s="149" t="str">
        <f>IF(startday=1,INDEX(weekDayNames,7),INDEX(weekDayNames,1))</f>
        <v>Sa</v>
      </c>
      <c r="T47" s="78"/>
      <c r="U47" s="157">
        <v>5</v>
      </c>
      <c r="V47" s="158" t="s">
        <v>116</v>
      </c>
    </row>
    <row r="48" spans="2:28" s="76" customFormat="1" ht="13.4" customHeight="1">
      <c r="B48" s="153" t="str">
        <f t="array" ref="B48:H53">IF(MONTH(B46)&lt;&gt;MONTH(DATE(YEAR(B46),MONTH(B46),1)-WEEKDAY(DATE(YEAR(B46),MONTH(B46),1),startday)+(WeekNo-1)*7+WeekDay),"",DATE(YEAR(B46),MONTH(B46),1)-WEEKDAY(DATE(YEAR(B46),MONTH(B46),1),startday)+(WeekNo-1)*7+WeekDay)</f>
        <v/>
      </c>
      <c r="C48" s="156" t="str">
        <v/>
      </c>
      <c r="D48" s="187" t="str">
        <v/>
      </c>
      <c r="E48" s="155" t="str">
        <v/>
      </c>
      <c r="F48" s="155" t="str">
        <v/>
      </c>
      <c r="G48" s="156">
        <v>43770</v>
      </c>
      <c r="H48" s="153">
        <v>43771</v>
      </c>
      <c r="I48" s="78"/>
      <c r="J48" s="173">
        <v>13</v>
      </c>
      <c r="K48" s="152" t="s">
        <v>170</v>
      </c>
      <c r="L48" s="78"/>
      <c r="M48" s="153" t="str">
        <f t="array" ref="M48:S53">IF(MONTH(M46)&lt;&gt;MONTH(DATE(YEAR(M46),MONTH(M46),1)-WEEKDAY(DATE(YEAR(M46),MONTH(M46),1),startday)+(WeekNo-1)*7+WeekDay),"",DATE(YEAR(M46),MONTH(M46),1)-WEEKDAY(DATE(YEAR(M46),MONTH(M46),1),startday)+(WeekNo-1)*7+WeekDay)</f>
        <v/>
      </c>
      <c r="N48" s="188" t="str">
        <v/>
      </c>
      <c r="O48" s="155" t="str">
        <v/>
      </c>
      <c r="P48" s="155" t="str">
        <v/>
      </c>
      <c r="Q48" s="156" t="str">
        <v/>
      </c>
      <c r="R48" s="156">
        <v>43952</v>
      </c>
      <c r="S48" s="153">
        <v>43953</v>
      </c>
      <c r="T48" s="78"/>
      <c r="U48" s="174">
        <v>13</v>
      </c>
      <c r="V48" s="152" t="s">
        <v>170</v>
      </c>
    </row>
    <row r="49" spans="2:28" s="76" customFormat="1" ht="13.4" customHeight="1">
      <c r="B49" s="153">
        <v>43772</v>
      </c>
      <c r="C49" s="156">
        <v>43773</v>
      </c>
      <c r="D49" s="155">
        <v>43774</v>
      </c>
      <c r="E49" s="156">
        <v>43775</v>
      </c>
      <c r="F49" s="156">
        <v>43776</v>
      </c>
      <c r="G49" s="156">
        <v>43777</v>
      </c>
      <c r="H49" s="153">
        <v>43778</v>
      </c>
      <c r="I49" s="78"/>
      <c r="J49" s="157">
        <v>19</v>
      </c>
      <c r="K49" s="158" t="s">
        <v>116</v>
      </c>
      <c r="L49" s="78"/>
      <c r="M49" s="153">
        <v>43954</v>
      </c>
      <c r="N49" s="156">
        <v>43955</v>
      </c>
      <c r="O49" s="155">
        <v>43956</v>
      </c>
      <c r="P49" s="156">
        <v>43957</v>
      </c>
      <c r="Q49" s="156">
        <v>43958</v>
      </c>
      <c r="R49" s="156">
        <v>43959</v>
      </c>
      <c r="S49" s="153">
        <v>43960</v>
      </c>
      <c r="T49" s="78"/>
      <c r="U49" s="157">
        <v>19</v>
      </c>
      <c r="V49" s="158" t="s">
        <v>116</v>
      </c>
      <c r="Y49" s="134"/>
    </row>
    <row r="50" spans="2:28" s="77" customFormat="1" ht="13.4" customHeight="1">
      <c r="B50" s="153">
        <v>43779</v>
      </c>
      <c r="C50" s="156">
        <v>43780</v>
      </c>
      <c r="D50" s="156">
        <v>43781</v>
      </c>
      <c r="E50" s="159">
        <v>43782</v>
      </c>
      <c r="F50" s="156">
        <v>43783</v>
      </c>
      <c r="G50" s="156">
        <v>43784</v>
      </c>
      <c r="H50" s="153">
        <v>43785</v>
      </c>
      <c r="I50" s="78"/>
      <c r="J50" s="151">
        <v>27</v>
      </c>
      <c r="K50" s="152" t="s">
        <v>170</v>
      </c>
      <c r="L50" s="78"/>
      <c r="M50" s="153">
        <v>43961</v>
      </c>
      <c r="N50" s="156">
        <v>43962</v>
      </c>
      <c r="O50" s="156">
        <v>43963</v>
      </c>
      <c r="P50" s="159">
        <v>43964</v>
      </c>
      <c r="Q50" s="156">
        <v>43965</v>
      </c>
      <c r="R50" s="156">
        <v>43966</v>
      </c>
      <c r="S50" s="153">
        <v>43967</v>
      </c>
      <c r="T50" s="78"/>
      <c r="U50" s="174">
        <v>27</v>
      </c>
      <c r="V50" s="152" t="s">
        <v>170</v>
      </c>
      <c r="Y50" s="175"/>
      <c r="Z50" s="76"/>
      <c r="AA50" s="76"/>
      <c r="AB50" s="76"/>
    </row>
    <row r="51" spans="2:28" s="76" customFormat="1" ht="13.4" customHeight="1">
      <c r="B51" s="153">
        <v>43786</v>
      </c>
      <c r="C51" s="156">
        <v>43787</v>
      </c>
      <c r="D51" s="155">
        <v>43788</v>
      </c>
      <c r="E51" s="156">
        <v>43789</v>
      </c>
      <c r="F51" s="156">
        <v>43790</v>
      </c>
      <c r="G51" s="156">
        <v>43791</v>
      </c>
      <c r="H51" s="153">
        <v>43792</v>
      </c>
      <c r="I51" s="78"/>
      <c r="L51" s="78"/>
      <c r="M51" s="153">
        <v>43968</v>
      </c>
      <c r="N51" s="156">
        <v>43969</v>
      </c>
      <c r="O51" s="155">
        <v>43970</v>
      </c>
      <c r="P51" s="156">
        <v>43971</v>
      </c>
      <c r="Q51" s="156">
        <v>43972</v>
      </c>
      <c r="R51" s="156">
        <v>43973</v>
      </c>
      <c r="S51" s="153">
        <v>43974</v>
      </c>
      <c r="T51" s="78"/>
      <c r="Y51" s="175"/>
      <c r="AA51" s="77"/>
    </row>
    <row r="52" spans="2:28" s="76" customFormat="1" ht="13.4" customHeight="1">
      <c r="B52" s="153">
        <v>43793</v>
      </c>
      <c r="C52" s="156">
        <v>43794</v>
      </c>
      <c r="D52" s="156">
        <v>43795</v>
      </c>
      <c r="E52" s="159">
        <v>43796</v>
      </c>
      <c r="F52" s="156">
        <v>43797</v>
      </c>
      <c r="G52" s="156">
        <v>43798</v>
      </c>
      <c r="H52" s="153">
        <v>43799</v>
      </c>
      <c r="I52" s="78"/>
      <c r="L52" s="78"/>
      <c r="M52" s="153">
        <v>43975</v>
      </c>
      <c r="N52" s="156">
        <v>43976</v>
      </c>
      <c r="O52" s="156">
        <v>43977</v>
      </c>
      <c r="P52" s="159">
        <v>43978</v>
      </c>
      <c r="Q52" s="156">
        <v>43979</v>
      </c>
      <c r="R52" s="156">
        <v>43980</v>
      </c>
      <c r="S52" s="153">
        <v>43981</v>
      </c>
      <c r="T52" s="78"/>
      <c r="Y52" s="175"/>
    </row>
    <row r="53" spans="2:28" s="76" customFormat="1" ht="13.4" customHeight="1">
      <c r="B53" s="153" t="str">
        <v/>
      </c>
      <c r="C53" s="156" t="str">
        <v/>
      </c>
      <c r="D53" s="156" t="str">
        <v/>
      </c>
      <c r="E53" s="156" t="str">
        <v/>
      </c>
      <c r="F53" s="156" t="str">
        <v/>
      </c>
      <c r="G53" s="156" t="str">
        <v/>
      </c>
      <c r="H53" s="153" t="str">
        <v/>
      </c>
      <c r="I53" s="78"/>
      <c r="J53" s="189"/>
      <c r="K53" s="80"/>
      <c r="L53" s="78"/>
      <c r="M53" s="153">
        <v>43982</v>
      </c>
      <c r="N53" s="156" t="str">
        <v/>
      </c>
      <c r="O53" s="156" t="str">
        <v/>
      </c>
      <c r="P53" s="156" t="str">
        <v/>
      </c>
      <c r="Q53" s="156" t="str">
        <v/>
      </c>
      <c r="R53" s="156" t="str">
        <v/>
      </c>
      <c r="S53" s="153" t="str">
        <v/>
      </c>
      <c r="T53" s="78"/>
      <c r="U53" s="190"/>
      <c r="V53" s="78"/>
      <c r="Y53" s="191"/>
      <c r="Z53" s="77"/>
      <c r="AB53" s="77"/>
    </row>
    <row r="54" spans="2:28" s="76" customFormat="1" ht="5.15" customHeight="1">
      <c r="B54" s="78"/>
      <c r="C54" s="78"/>
      <c r="D54" s="78"/>
      <c r="E54" s="78"/>
      <c r="F54" s="78"/>
      <c r="G54" s="78"/>
      <c r="H54" s="78"/>
      <c r="I54" s="78"/>
      <c r="L54" s="78"/>
      <c r="M54" s="77"/>
      <c r="N54" s="77"/>
      <c r="O54" s="77"/>
      <c r="P54" s="77"/>
      <c r="Q54" s="77"/>
      <c r="R54" s="77"/>
      <c r="S54" s="77"/>
      <c r="T54" s="78"/>
      <c r="U54" s="77"/>
      <c r="V54" s="77"/>
      <c r="Y54" s="175"/>
    </row>
    <row r="55" spans="2:28" s="76" customFormat="1" ht="10.5">
      <c r="B55" s="373">
        <f>DATE(year,12,1)</f>
        <v>43800</v>
      </c>
      <c r="C55" s="374"/>
      <c r="D55" s="374"/>
      <c r="E55" s="374"/>
      <c r="F55" s="374"/>
      <c r="G55" s="374"/>
      <c r="H55" s="374"/>
      <c r="I55" s="78"/>
      <c r="J55" s="375" t="s">
        <v>126</v>
      </c>
      <c r="K55" s="375"/>
      <c r="L55" s="78"/>
      <c r="M55" s="373">
        <f>DATE(year+1,6,1)</f>
        <v>43983</v>
      </c>
      <c r="N55" s="374"/>
      <c r="O55" s="374"/>
      <c r="P55" s="374"/>
      <c r="Q55" s="374"/>
      <c r="R55" s="374"/>
      <c r="S55" s="374"/>
      <c r="T55" s="78"/>
      <c r="U55" s="375" t="s">
        <v>127</v>
      </c>
      <c r="V55" s="375"/>
    </row>
    <row r="56" spans="2:28" s="76" customFormat="1" ht="13.4" customHeight="1">
      <c r="B56" s="149" t="str">
        <f>IF(startday=1,INDEX(weekDayNames,1),INDEX(weekDayNames,2))</f>
        <v>Su</v>
      </c>
      <c r="C56" s="150" t="str">
        <f>IF(startday=1,INDEX(weekDayNames,2),INDEX(weekDayNames,3))</f>
        <v>M</v>
      </c>
      <c r="D56" s="150" t="str">
        <f>IF(startday=1,INDEX(weekDayNames,3),INDEX(weekDayNames,4))</f>
        <v>Tu</v>
      </c>
      <c r="E56" s="150" t="str">
        <f>IF(startday=1,INDEX(weekDayNames,4),INDEX(weekDayNames,5))</f>
        <v>W</v>
      </c>
      <c r="F56" s="150" t="str">
        <f>IF(startday=1,INDEX(weekDayNames,5),INDEX(weekDayNames,6))</f>
        <v>Th</v>
      </c>
      <c r="G56" s="150" t="str">
        <f>IF(startday=1,INDEX(weekDayNames,6),INDEX(weekDayNames,7))</f>
        <v>F</v>
      </c>
      <c r="H56" s="149" t="str">
        <f>IF(startday=1,INDEX(weekDayNames,7),INDEX(weekDayNames,1))</f>
        <v>Sa</v>
      </c>
      <c r="I56" s="78"/>
      <c r="J56" s="157">
        <v>3</v>
      </c>
      <c r="K56" s="158" t="s">
        <v>116</v>
      </c>
      <c r="L56" s="78"/>
      <c r="M56" s="149" t="str">
        <f>IF(startday=1,INDEX(weekDayNames,1),INDEX(weekDayNames,2))</f>
        <v>Su</v>
      </c>
      <c r="N56" s="150" t="str">
        <f>IF(startday=1,INDEX(weekDayNames,2),INDEX(weekDayNames,3))</f>
        <v>M</v>
      </c>
      <c r="O56" s="150" t="str">
        <f>IF(startday=1,INDEX(weekDayNames,3),INDEX(weekDayNames,4))</f>
        <v>Tu</v>
      </c>
      <c r="P56" s="150" t="str">
        <f>IF(startday=1,INDEX(weekDayNames,4),INDEX(weekDayNames,5))</f>
        <v>W</v>
      </c>
      <c r="Q56" s="150" t="str">
        <f>IF(startday=1,INDEX(weekDayNames,5),INDEX(weekDayNames,6))</f>
        <v>Th</v>
      </c>
      <c r="R56" s="150" t="str">
        <f>IF(startday=1,INDEX(weekDayNames,6),INDEX(weekDayNames,7))</f>
        <v>F</v>
      </c>
      <c r="S56" s="149" t="str">
        <f>IF(startday=1,INDEX(weekDayNames,7),INDEX(weekDayNames,1))</f>
        <v>Sa</v>
      </c>
      <c r="T56" s="78"/>
      <c r="U56" s="157">
        <v>2</v>
      </c>
      <c r="V56" s="158" t="s">
        <v>116</v>
      </c>
    </row>
    <row r="57" spans="2:28" s="76" customFormat="1" ht="13.4" customHeight="1">
      <c r="B57" s="153">
        <f t="array" ref="B57:H62">IF(MONTH(B55)&lt;&gt;MONTH(DATE(YEAR(B55),MONTH(B55),1)-WEEKDAY(DATE(YEAR(B55),MONTH(B55),1),startday)+(WeekNo-1)*7+WeekDay),"",DATE(YEAR(B55),MONTH(B55),1)-WEEKDAY(DATE(YEAR(B55),MONTH(B55),1),startday)+(WeekNo-1)*7+WeekDay)</f>
        <v>43800</v>
      </c>
      <c r="C57" s="156">
        <v>43801</v>
      </c>
      <c r="D57" s="155">
        <v>43802</v>
      </c>
      <c r="E57" s="156">
        <v>43803</v>
      </c>
      <c r="F57" s="156">
        <v>43804</v>
      </c>
      <c r="G57" s="156">
        <v>43805</v>
      </c>
      <c r="H57" s="153">
        <v>43806</v>
      </c>
      <c r="I57" s="78"/>
      <c r="J57" s="151">
        <v>11</v>
      </c>
      <c r="K57" s="152" t="s">
        <v>170</v>
      </c>
      <c r="L57" s="78"/>
      <c r="M57" s="153" t="str">
        <f t="array" ref="M57:S62">IF(MONTH(M55)&lt;&gt;MONTH(DATE(YEAR(M55),MONTH(M55),1)-WEEKDAY(DATE(YEAR(M55),MONTH(M55),1),startday)+(WeekNo-1)*7+WeekDay),"",DATE(YEAR(M55),MONTH(M55),1)-WEEKDAY(DATE(YEAR(M55),MONTH(M55),1),startday)+(WeekNo-1)*7+WeekDay)</f>
        <v/>
      </c>
      <c r="N57" s="156">
        <v>43983</v>
      </c>
      <c r="O57" s="155">
        <v>43984</v>
      </c>
      <c r="P57" s="156">
        <v>43985</v>
      </c>
      <c r="Q57" s="156">
        <v>43986</v>
      </c>
      <c r="R57" s="156">
        <v>43987</v>
      </c>
      <c r="S57" s="153">
        <v>43988</v>
      </c>
      <c r="T57" s="78"/>
      <c r="U57" s="174">
        <v>10</v>
      </c>
      <c r="V57" s="152" t="s">
        <v>170</v>
      </c>
    </row>
    <row r="58" spans="2:28" s="76" customFormat="1" ht="13.4" customHeight="1">
      <c r="B58" s="153">
        <v>43807</v>
      </c>
      <c r="C58" s="156">
        <v>43808</v>
      </c>
      <c r="D58" s="156">
        <v>43809</v>
      </c>
      <c r="E58" s="159">
        <v>43810</v>
      </c>
      <c r="F58" s="156">
        <v>43811</v>
      </c>
      <c r="G58" s="156">
        <v>43812</v>
      </c>
      <c r="H58" s="153">
        <v>43813</v>
      </c>
      <c r="I58" s="78"/>
      <c r="J58" s="157">
        <v>17</v>
      </c>
      <c r="K58" s="158" t="s">
        <v>116</v>
      </c>
      <c r="L58" s="78"/>
      <c r="M58" s="153">
        <v>43989</v>
      </c>
      <c r="N58" s="156">
        <v>43990</v>
      </c>
      <c r="O58" s="156">
        <v>43991</v>
      </c>
      <c r="P58" s="159">
        <v>43992</v>
      </c>
      <c r="Q58" s="156">
        <v>43993</v>
      </c>
      <c r="R58" s="156">
        <v>43994</v>
      </c>
      <c r="S58" s="153">
        <v>43995</v>
      </c>
      <c r="T58" s="78"/>
      <c r="U58" s="157">
        <v>16</v>
      </c>
      <c r="V58" s="158" t="s">
        <v>116</v>
      </c>
    </row>
    <row r="59" spans="2:28" s="76" customFormat="1" ht="13.4" customHeight="1">
      <c r="B59" s="153">
        <v>43814</v>
      </c>
      <c r="C59" s="156">
        <v>43815</v>
      </c>
      <c r="D59" s="155">
        <v>43816</v>
      </c>
      <c r="E59" s="156">
        <v>43817</v>
      </c>
      <c r="F59" s="156">
        <v>43818</v>
      </c>
      <c r="G59" s="156">
        <v>43819</v>
      </c>
      <c r="H59" s="153">
        <v>43820</v>
      </c>
      <c r="I59" s="78"/>
      <c r="J59" s="163">
        <v>31</v>
      </c>
      <c r="K59" s="181" t="s">
        <v>183</v>
      </c>
      <c r="L59" s="78"/>
      <c r="M59" s="153">
        <v>43996</v>
      </c>
      <c r="N59" s="156">
        <v>43997</v>
      </c>
      <c r="O59" s="155">
        <v>43998</v>
      </c>
      <c r="P59" s="156">
        <v>43999</v>
      </c>
      <c r="Q59" s="156">
        <v>44000</v>
      </c>
      <c r="R59" s="156">
        <v>44001</v>
      </c>
      <c r="S59" s="153">
        <v>44002</v>
      </c>
      <c r="T59" s="78"/>
      <c r="U59" s="174">
        <v>24</v>
      </c>
      <c r="V59" s="152" t="s">
        <v>170</v>
      </c>
    </row>
    <row r="60" spans="2:28" s="77" customFormat="1" ht="13.4" customHeight="1">
      <c r="B60" s="153">
        <v>43821</v>
      </c>
      <c r="C60" s="156">
        <v>43822</v>
      </c>
      <c r="D60" s="156">
        <v>43823</v>
      </c>
      <c r="E60" s="156">
        <v>43824</v>
      </c>
      <c r="F60" s="156">
        <v>43825</v>
      </c>
      <c r="G60" s="156">
        <v>43826</v>
      </c>
      <c r="H60" s="153">
        <v>43827</v>
      </c>
      <c r="I60" s="78"/>
      <c r="J60" s="163">
        <v>31</v>
      </c>
      <c r="K60" s="177" t="s">
        <v>128</v>
      </c>
      <c r="L60" s="78"/>
      <c r="M60" s="153">
        <v>44003</v>
      </c>
      <c r="N60" s="156">
        <v>44004</v>
      </c>
      <c r="O60" s="156">
        <v>44005</v>
      </c>
      <c r="P60" s="159">
        <v>44006</v>
      </c>
      <c r="Q60" s="156">
        <v>44007</v>
      </c>
      <c r="R60" s="156">
        <v>44008</v>
      </c>
      <c r="S60" s="153">
        <v>44009</v>
      </c>
      <c r="T60" s="78"/>
      <c r="U60" s="192">
        <v>30</v>
      </c>
      <c r="V60" s="193" t="s">
        <v>180</v>
      </c>
      <c r="Y60" s="76"/>
      <c r="Z60" s="76"/>
      <c r="AA60" s="76"/>
      <c r="AB60" s="76"/>
    </row>
    <row r="61" spans="2:28" s="76" customFormat="1" ht="13.4" customHeight="1">
      <c r="B61" s="153">
        <v>43828</v>
      </c>
      <c r="C61" s="156">
        <v>43829</v>
      </c>
      <c r="D61" s="154">
        <v>43830</v>
      </c>
      <c r="E61" s="159" t="str">
        <v/>
      </c>
      <c r="F61" s="156" t="str">
        <v/>
      </c>
      <c r="G61" s="156" t="str">
        <v/>
      </c>
      <c r="H61" s="153" t="str">
        <v/>
      </c>
      <c r="I61" s="78"/>
      <c r="L61" s="78"/>
      <c r="M61" s="153">
        <v>44010</v>
      </c>
      <c r="N61" s="156">
        <v>44011</v>
      </c>
      <c r="O61" s="154">
        <v>44012</v>
      </c>
      <c r="P61" s="159" t="str">
        <v/>
      </c>
      <c r="Q61" s="156" t="str">
        <v/>
      </c>
      <c r="R61" s="154" t="str">
        <v/>
      </c>
      <c r="S61" s="153" t="str">
        <v/>
      </c>
      <c r="T61" s="78"/>
      <c r="U61" s="82"/>
      <c r="V61" s="78"/>
      <c r="AA61" s="77"/>
    </row>
    <row r="62" spans="2:28" s="76" customFormat="1" ht="13.4" customHeight="1">
      <c r="B62" s="153" t="str">
        <v/>
      </c>
      <c r="C62" s="155" t="str">
        <v/>
      </c>
      <c r="D62" s="156" t="str">
        <v/>
      </c>
      <c r="E62" s="156" t="str">
        <v/>
      </c>
      <c r="F62" s="156" t="str">
        <v/>
      </c>
      <c r="G62" s="156" t="str">
        <v/>
      </c>
      <c r="H62" s="153" t="str">
        <v/>
      </c>
      <c r="I62" s="78"/>
      <c r="L62" s="78"/>
      <c r="M62" s="153" t="str">
        <v/>
      </c>
      <c r="N62" s="156" t="str">
        <v/>
      </c>
      <c r="O62" s="156" t="str">
        <v/>
      </c>
      <c r="P62" s="159" t="str">
        <v/>
      </c>
      <c r="Q62" s="156" t="str">
        <v/>
      </c>
      <c r="R62" s="156" t="str">
        <v/>
      </c>
      <c r="S62" s="153" t="str">
        <v/>
      </c>
      <c r="T62" s="78"/>
      <c r="U62" s="82"/>
      <c r="V62" s="78"/>
    </row>
    <row r="63" spans="2:28" s="76" customFormat="1" ht="13">
      <c r="B63" s="78"/>
      <c r="C63" s="78"/>
      <c r="D63" s="78"/>
      <c r="E63" s="78"/>
      <c r="F63" s="78"/>
      <c r="G63" s="78"/>
      <c r="H63" s="78"/>
      <c r="I63" s="78"/>
      <c r="J63" s="81"/>
      <c r="K63" s="78"/>
      <c r="L63" s="78"/>
      <c r="M63" s="72"/>
      <c r="N63" s="72"/>
      <c r="O63" s="72"/>
      <c r="P63" s="72"/>
      <c r="Q63" s="72"/>
      <c r="R63" s="72"/>
      <c r="S63" s="72"/>
      <c r="T63" s="78"/>
      <c r="U63" s="82"/>
      <c r="V63" s="78"/>
      <c r="Y63" s="77"/>
      <c r="Z63" s="77"/>
      <c r="AB63" s="77"/>
    </row>
    <row r="64" spans="2:28" s="76" customFormat="1">
      <c r="B64" s="72"/>
      <c r="C64" s="72"/>
      <c r="D64" s="72"/>
      <c r="E64" s="72"/>
      <c r="F64" s="72"/>
      <c r="G64" s="72"/>
      <c r="H64" s="72"/>
      <c r="I64" s="78"/>
      <c r="J64" s="81"/>
      <c r="K64" s="78"/>
      <c r="L64" s="78"/>
      <c r="M64" s="72"/>
      <c r="N64" s="72"/>
      <c r="O64" s="72"/>
      <c r="P64" s="72"/>
      <c r="Q64" s="72"/>
      <c r="R64" s="72"/>
      <c r="S64" s="72"/>
      <c r="T64" s="78"/>
      <c r="U64" s="78"/>
      <c r="V64" s="78"/>
    </row>
    <row r="65" spans="2:28" s="76" customFormat="1">
      <c r="B65" s="72"/>
      <c r="C65" s="72"/>
      <c r="D65" s="72"/>
      <c r="E65" s="72"/>
      <c r="F65" s="72"/>
      <c r="G65" s="72"/>
      <c r="H65" s="72"/>
      <c r="I65" s="72"/>
      <c r="J65" s="73"/>
      <c r="K65" s="72"/>
      <c r="L65" s="72"/>
      <c r="M65" s="72"/>
      <c r="N65" s="72"/>
      <c r="O65" s="72"/>
      <c r="P65" s="72"/>
      <c r="Q65" s="72"/>
      <c r="R65" s="72"/>
      <c r="S65" s="72"/>
      <c r="T65" s="72"/>
      <c r="U65" s="72"/>
      <c r="V65" s="72"/>
    </row>
    <row r="66" spans="2:28" s="76" customFormat="1">
      <c r="B66" s="72"/>
      <c r="C66" s="72"/>
      <c r="D66" s="72"/>
      <c r="E66" s="72"/>
      <c r="F66" s="72"/>
      <c r="G66" s="72"/>
      <c r="H66" s="72"/>
      <c r="I66" s="72"/>
      <c r="J66" s="73"/>
      <c r="K66" s="72"/>
      <c r="L66" s="72"/>
      <c r="M66" s="72"/>
      <c r="N66" s="72"/>
      <c r="O66" s="72"/>
      <c r="P66" s="72"/>
      <c r="Q66" s="72"/>
      <c r="R66" s="72"/>
      <c r="S66" s="72"/>
      <c r="T66" s="72"/>
      <c r="U66" s="72"/>
      <c r="V66" s="72"/>
    </row>
    <row r="67" spans="2:28" s="76" customFormat="1" ht="11.25" customHeight="1">
      <c r="B67" s="72"/>
      <c r="C67" s="72"/>
      <c r="D67" s="72"/>
      <c r="E67" s="72"/>
      <c r="F67" s="72"/>
      <c r="G67" s="72"/>
      <c r="H67" s="72"/>
      <c r="I67" s="72"/>
      <c r="J67" s="73"/>
      <c r="K67" s="72"/>
      <c r="L67" s="72"/>
      <c r="M67" s="72"/>
      <c r="N67" s="72"/>
      <c r="O67" s="72"/>
      <c r="P67" s="72"/>
      <c r="Q67" s="72"/>
      <c r="R67" s="72"/>
      <c r="S67" s="72"/>
      <c r="T67" s="72"/>
      <c r="U67" s="72"/>
      <c r="V67" s="72"/>
    </row>
    <row r="68" spans="2:28" s="76" customFormat="1" ht="4.5" customHeight="1">
      <c r="B68" s="72"/>
      <c r="C68" s="72"/>
      <c r="D68" s="72"/>
      <c r="E68" s="72"/>
      <c r="F68" s="72"/>
      <c r="G68" s="72"/>
      <c r="H68" s="72"/>
      <c r="I68" s="72"/>
      <c r="J68" s="73"/>
      <c r="K68" s="72"/>
      <c r="L68" s="72"/>
      <c r="M68" s="72"/>
      <c r="N68" s="72"/>
      <c r="O68" s="72"/>
      <c r="P68" s="72"/>
      <c r="Q68" s="72"/>
      <c r="R68" s="72"/>
      <c r="S68" s="72"/>
      <c r="T68" s="72"/>
      <c r="U68" s="72"/>
      <c r="V68" s="72"/>
    </row>
    <row r="69" spans="2:28">
      <c r="Y69" s="76"/>
      <c r="Z69" s="76"/>
      <c r="AA69" s="76"/>
      <c r="AB69" s="76"/>
    </row>
    <row r="70" spans="2:28">
      <c r="M70" s="76"/>
      <c r="Y70" s="76"/>
      <c r="Z70" s="76"/>
      <c r="AB70" s="76"/>
    </row>
    <row r="71" spans="2:28">
      <c r="M71" s="76"/>
      <c r="Y71" s="76"/>
      <c r="Z71" s="76"/>
      <c r="AB71" s="76"/>
    </row>
    <row r="72" spans="2:28">
      <c r="L72" s="76"/>
      <c r="M72" s="76"/>
    </row>
    <row r="73" spans="2:28" ht="13">
      <c r="L73" s="76"/>
      <c r="M73" s="77"/>
      <c r="R73" s="85"/>
    </row>
    <row r="74" spans="2:28">
      <c r="M74" s="76"/>
    </row>
    <row r="75" spans="2:28">
      <c r="K75" s="134"/>
      <c r="M75" s="76"/>
    </row>
    <row r="76" spans="2:28">
      <c r="K76" s="134"/>
      <c r="M76" s="76"/>
    </row>
    <row r="77" spans="2:28">
      <c r="M77" s="76"/>
    </row>
  </sheetData>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ColWidth="8.81640625" defaultRowHeight="14.5"/>
  <cols>
    <col min="3" max="3" width="18" bestFit="1" customWidth="1"/>
    <col min="4" max="4" width="22.81640625" bestFit="1" customWidth="1"/>
    <col min="5" max="5" width="19" bestFit="1" customWidth="1"/>
    <col min="6" max="6" width="25.26953125" bestFit="1" customWidth="1"/>
  </cols>
  <sheetData>
    <row r="1" spans="1:7">
      <c r="A1" t="s">
        <v>30</v>
      </c>
      <c r="B1" t="s">
        <v>55</v>
      </c>
      <c r="C1" t="s">
        <v>1</v>
      </c>
      <c r="D1" t="s">
        <v>8</v>
      </c>
      <c r="E1" t="s">
        <v>14</v>
      </c>
      <c r="F1" t="s">
        <v>15</v>
      </c>
      <c r="G1" t="s">
        <v>55</v>
      </c>
    </row>
    <row r="2" spans="1:7">
      <c r="A2" t="s">
        <v>31</v>
      </c>
      <c r="B2" t="s">
        <v>56</v>
      </c>
      <c r="C2" t="s">
        <v>3</v>
      </c>
      <c r="D2" t="s">
        <v>10</v>
      </c>
      <c r="E2" t="s">
        <v>12</v>
      </c>
      <c r="G2" t="s">
        <v>56</v>
      </c>
    </row>
    <row r="3" spans="1:7">
      <c r="B3" t="s">
        <v>57</v>
      </c>
      <c r="G3" t="s">
        <v>57</v>
      </c>
    </row>
    <row r="4" spans="1:7">
      <c r="B4" t="s">
        <v>58</v>
      </c>
      <c r="G4" t="s">
        <v>58</v>
      </c>
    </row>
    <row r="5" spans="1:7">
      <c r="G5" t="s">
        <v>59</v>
      </c>
    </row>
    <row r="10" spans="1:7">
      <c r="A10" t="s">
        <v>13</v>
      </c>
      <c r="D10" t="s">
        <v>19</v>
      </c>
    </row>
    <row r="11" spans="1:7">
      <c r="A11" t="s">
        <v>11</v>
      </c>
      <c r="D11" t="s">
        <v>20</v>
      </c>
    </row>
    <row r="12" spans="1:7">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Contact Information</vt:lpstr>
      <vt:lpstr>Narrative</vt:lpstr>
      <vt:lpstr>Budget Detail &amp; Amendments</vt:lpstr>
      <vt:lpstr>Budget Roll-Up</vt:lpstr>
      <vt:lpstr>Project Roll-Up</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2019-06-05T17:02:22Z</cp:lastPrinted>
  <dcterms:created xsi:type="dcterms:W3CDTF">2017-02-07T21:45:49Z</dcterms:created>
  <dcterms:modified xsi:type="dcterms:W3CDTF">2020-05-22T13:40:08Z</dcterms:modified>
</cp:coreProperties>
</file>